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ods\Downloads\"/>
    </mc:Choice>
  </mc:AlternateContent>
  <xr:revisionPtr revIDLastSave="0" documentId="13_ncr:1_{1C6DBD5B-747E-4F44-9939-926830F1FBC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คำนวณเงินเดือน" sheetId="7" r:id="rId1"/>
    <sheet name="Money" sheetId="4" state="hidden" r:id="rId2"/>
  </sheets>
  <externalReferences>
    <externalReference r:id="rId3"/>
  </externalReferences>
  <definedNames>
    <definedName name="_xlnm._FilterDatabase" hidden="1">#REF!</definedName>
    <definedName name="RunOn">!A1048576+0.05</definedName>
    <definedName name="sch">[1]CodeSch!$B$3:$C$33</definedName>
    <definedName name="ตำแหน่ง">[1]!Table2[ตำแหน่ง]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" i="7" l="1"/>
  <c r="C10" i="7" s="1"/>
  <c r="Z62" i="7"/>
  <c r="Z63" i="7"/>
  <c r="Z64" i="7"/>
  <c r="Z65" i="7"/>
  <c r="Z66" i="7"/>
  <c r="Z67" i="7"/>
  <c r="Z68" i="7"/>
  <c r="Z69" i="7"/>
  <c r="Z70" i="7"/>
  <c r="Z71" i="7"/>
  <c r="Z72" i="7"/>
  <c r="Z73" i="7"/>
  <c r="Z74" i="7"/>
  <c r="Z75" i="7"/>
  <c r="Z76" i="7"/>
  <c r="Z77" i="7"/>
  <c r="Z78" i="7"/>
  <c r="Z79" i="7"/>
  <c r="Z80" i="7"/>
  <c r="Z81" i="7"/>
  <c r="Z82" i="7"/>
  <c r="Z83" i="7"/>
  <c r="Z84" i="7"/>
  <c r="Z85" i="7"/>
  <c r="Z86" i="7"/>
  <c r="Z87" i="7"/>
  <c r="Z88" i="7"/>
  <c r="Z89" i="7"/>
  <c r="Z90" i="7"/>
  <c r="R52" i="7"/>
  <c r="T62" i="7"/>
  <c r="U62" i="7" s="1"/>
  <c r="T63" i="7"/>
  <c r="U63" i="7" s="1"/>
  <c r="T64" i="7"/>
  <c r="U64" i="7" s="1"/>
  <c r="T65" i="7"/>
  <c r="U65" i="7" s="1"/>
  <c r="T66" i="7"/>
  <c r="U66" i="7" s="1"/>
  <c r="T67" i="7"/>
  <c r="U67" i="7" s="1"/>
  <c r="T68" i="7"/>
  <c r="U68" i="7" s="1"/>
  <c r="T69" i="7"/>
  <c r="U69" i="7" s="1"/>
  <c r="T70" i="7"/>
  <c r="U70" i="7" s="1"/>
  <c r="T71" i="7"/>
  <c r="U71" i="7" s="1"/>
  <c r="T72" i="7"/>
  <c r="U72" i="7" s="1"/>
  <c r="T73" i="7"/>
  <c r="U73" i="7" s="1"/>
  <c r="T74" i="7"/>
  <c r="U74" i="7" s="1"/>
  <c r="T75" i="7"/>
  <c r="U75" i="7" s="1"/>
  <c r="T76" i="7"/>
  <c r="U76" i="7" s="1"/>
  <c r="T77" i="7"/>
  <c r="U77" i="7" s="1"/>
  <c r="T78" i="7"/>
  <c r="U78" i="7" s="1"/>
  <c r="T79" i="7"/>
  <c r="U79" i="7" s="1"/>
  <c r="T80" i="7"/>
  <c r="U80" i="7" s="1"/>
  <c r="T81" i="7"/>
  <c r="U81" i="7" s="1"/>
  <c r="T82" i="7"/>
  <c r="U82" i="7" s="1"/>
  <c r="T83" i="7"/>
  <c r="U83" i="7" s="1"/>
  <c r="T84" i="7"/>
  <c r="U84" i="7" s="1"/>
  <c r="T85" i="7"/>
  <c r="U85" i="7" s="1"/>
  <c r="T86" i="7"/>
  <c r="U86" i="7" s="1"/>
  <c r="T87" i="7"/>
  <c r="U87" i="7" s="1"/>
  <c r="T88" i="7"/>
  <c r="U88" i="7" s="1"/>
  <c r="T89" i="7"/>
  <c r="U89" i="7" s="1"/>
  <c r="T90" i="7"/>
  <c r="U90" i="7" s="1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10" i="7"/>
  <c r="K11" i="7"/>
  <c r="L11" i="7" s="1"/>
  <c r="K12" i="7"/>
  <c r="L12" i="7" s="1"/>
  <c r="K13" i="7"/>
  <c r="L13" i="7" s="1"/>
  <c r="K14" i="7"/>
  <c r="L14" i="7" s="1"/>
  <c r="K15" i="7"/>
  <c r="L15" i="7" s="1"/>
  <c r="K16" i="7"/>
  <c r="L16" i="7" s="1"/>
  <c r="K17" i="7"/>
  <c r="L17" i="7" s="1"/>
  <c r="K18" i="7"/>
  <c r="L18" i="7" s="1"/>
  <c r="K19" i="7"/>
  <c r="L19" i="7" s="1"/>
  <c r="K20" i="7"/>
  <c r="L20" i="7" s="1"/>
  <c r="K21" i="7"/>
  <c r="L21" i="7" s="1"/>
  <c r="K22" i="7"/>
  <c r="L22" i="7" s="1"/>
  <c r="K23" i="7"/>
  <c r="L23" i="7" s="1"/>
  <c r="K24" i="7"/>
  <c r="L24" i="7" s="1"/>
  <c r="K25" i="7"/>
  <c r="L25" i="7" s="1"/>
  <c r="K26" i="7"/>
  <c r="L26" i="7" s="1"/>
  <c r="K27" i="7"/>
  <c r="L27" i="7" s="1"/>
  <c r="K28" i="7"/>
  <c r="L28" i="7" s="1"/>
  <c r="K29" i="7"/>
  <c r="L29" i="7" s="1"/>
  <c r="K30" i="7"/>
  <c r="L30" i="7" s="1"/>
  <c r="K31" i="7"/>
  <c r="L31" i="7" s="1"/>
  <c r="K32" i="7"/>
  <c r="L32" i="7" s="1"/>
  <c r="K33" i="7"/>
  <c r="L33" i="7" s="1"/>
  <c r="K34" i="7"/>
  <c r="L34" i="7" s="1"/>
  <c r="K35" i="7"/>
  <c r="L35" i="7" s="1"/>
  <c r="K36" i="7"/>
  <c r="L36" i="7" s="1"/>
  <c r="K37" i="7"/>
  <c r="L37" i="7" s="1"/>
  <c r="K38" i="7"/>
  <c r="L38" i="7" s="1"/>
  <c r="K39" i="7"/>
  <c r="L39" i="7" s="1"/>
  <c r="K40" i="7"/>
  <c r="L40" i="7" s="1"/>
  <c r="K41" i="7"/>
  <c r="L41" i="7" s="1"/>
  <c r="K42" i="7"/>
  <c r="L42" i="7" s="1"/>
  <c r="K43" i="7"/>
  <c r="L43" i="7" s="1"/>
  <c r="K44" i="7"/>
  <c r="L44" i="7" s="1"/>
  <c r="K45" i="7"/>
  <c r="L45" i="7" s="1"/>
  <c r="K46" i="7"/>
  <c r="L46" i="7" s="1"/>
  <c r="K47" i="7"/>
  <c r="L47" i="7" s="1"/>
  <c r="K48" i="7"/>
  <c r="L48" i="7" s="1"/>
  <c r="K49" i="7"/>
  <c r="L49" i="7" s="1"/>
  <c r="K50" i="7"/>
  <c r="L50" i="7" s="1"/>
  <c r="K51" i="7"/>
  <c r="L51" i="7" s="1"/>
  <c r="K52" i="7"/>
  <c r="L52" i="7" s="1"/>
  <c r="K53" i="7"/>
  <c r="L53" i="7" s="1"/>
  <c r="K54" i="7"/>
  <c r="L54" i="7" s="1"/>
  <c r="K55" i="7"/>
  <c r="L55" i="7" s="1"/>
  <c r="K56" i="7"/>
  <c r="L56" i="7" s="1"/>
  <c r="K57" i="7"/>
  <c r="L57" i="7" s="1"/>
  <c r="K58" i="7"/>
  <c r="L58" i="7" s="1"/>
  <c r="K59" i="7"/>
  <c r="L59" i="7" s="1"/>
  <c r="K60" i="7"/>
  <c r="L60" i="7" s="1"/>
  <c r="K61" i="7"/>
  <c r="L61" i="7" s="1"/>
  <c r="K62" i="7"/>
  <c r="L62" i="7" s="1"/>
  <c r="K63" i="7"/>
  <c r="L63" i="7" s="1"/>
  <c r="K64" i="7"/>
  <c r="L64" i="7" s="1"/>
  <c r="K65" i="7"/>
  <c r="L65" i="7" s="1"/>
  <c r="K66" i="7"/>
  <c r="L66" i="7" s="1"/>
  <c r="K67" i="7"/>
  <c r="L67" i="7" s="1"/>
  <c r="K68" i="7"/>
  <c r="L68" i="7" s="1"/>
  <c r="K69" i="7"/>
  <c r="L69" i="7" s="1"/>
  <c r="K70" i="7"/>
  <c r="L70" i="7" s="1"/>
  <c r="K71" i="7"/>
  <c r="L71" i="7" s="1"/>
  <c r="K72" i="7"/>
  <c r="L72" i="7" s="1"/>
  <c r="K73" i="7"/>
  <c r="L73" i="7" s="1"/>
  <c r="K74" i="7"/>
  <c r="L74" i="7" s="1"/>
  <c r="K75" i="7"/>
  <c r="L75" i="7" s="1"/>
  <c r="K76" i="7"/>
  <c r="L76" i="7" s="1"/>
  <c r="K77" i="7"/>
  <c r="L77" i="7" s="1"/>
  <c r="K78" i="7"/>
  <c r="L78" i="7" s="1"/>
  <c r="K79" i="7"/>
  <c r="L79" i="7" s="1"/>
  <c r="K80" i="7"/>
  <c r="L80" i="7" s="1"/>
  <c r="K81" i="7"/>
  <c r="L81" i="7" s="1"/>
  <c r="K82" i="7"/>
  <c r="L82" i="7" s="1"/>
  <c r="K83" i="7"/>
  <c r="L83" i="7" s="1"/>
  <c r="K84" i="7"/>
  <c r="L84" i="7" s="1"/>
  <c r="K85" i="7"/>
  <c r="L85" i="7" s="1"/>
  <c r="K86" i="7"/>
  <c r="L86" i="7" s="1"/>
  <c r="K87" i="7"/>
  <c r="L87" i="7" s="1"/>
  <c r="K88" i="7"/>
  <c r="L88" i="7" s="1"/>
  <c r="K89" i="7"/>
  <c r="L89" i="7" s="1"/>
  <c r="K90" i="7"/>
  <c r="L90" i="7" s="1"/>
  <c r="K10" i="7"/>
  <c r="L10" i="7" s="1"/>
  <c r="G62" i="7"/>
  <c r="I62" i="7" s="1"/>
  <c r="G63" i="7"/>
  <c r="I63" i="7" s="1"/>
  <c r="G64" i="7"/>
  <c r="I64" i="7" s="1"/>
  <c r="G65" i="7"/>
  <c r="I65" i="7" s="1"/>
  <c r="G66" i="7"/>
  <c r="I66" i="7" s="1"/>
  <c r="G67" i="7"/>
  <c r="I67" i="7" s="1"/>
  <c r="G68" i="7"/>
  <c r="I68" i="7" s="1"/>
  <c r="G69" i="7"/>
  <c r="I69" i="7" s="1"/>
  <c r="G70" i="7"/>
  <c r="I70" i="7" s="1"/>
  <c r="G71" i="7"/>
  <c r="I71" i="7" s="1"/>
  <c r="G72" i="7"/>
  <c r="I72" i="7" s="1"/>
  <c r="G73" i="7"/>
  <c r="I73" i="7" s="1"/>
  <c r="G74" i="7"/>
  <c r="I74" i="7" s="1"/>
  <c r="G75" i="7"/>
  <c r="I75" i="7" s="1"/>
  <c r="G76" i="7"/>
  <c r="I76" i="7" s="1"/>
  <c r="G77" i="7"/>
  <c r="I77" i="7" s="1"/>
  <c r="G78" i="7"/>
  <c r="I78" i="7" s="1"/>
  <c r="G79" i="7"/>
  <c r="I79" i="7" s="1"/>
  <c r="G80" i="7"/>
  <c r="I80" i="7" s="1"/>
  <c r="G81" i="7"/>
  <c r="I81" i="7" s="1"/>
  <c r="G82" i="7"/>
  <c r="I82" i="7" s="1"/>
  <c r="G83" i="7"/>
  <c r="I83" i="7" s="1"/>
  <c r="G84" i="7"/>
  <c r="I84" i="7" s="1"/>
  <c r="G85" i="7"/>
  <c r="I85" i="7" s="1"/>
  <c r="G86" i="7"/>
  <c r="I86" i="7" s="1"/>
  <c r="G87" i="7"/>
  <c r="I87" i="7" s="1"/>
  <c r="G88" i="7"/>
  <c r="I88" i="7" s="1"/>
  <c r="G89" i="7"/>
  <c r="I89" i="7" s="1"/>
  <c r="G90" i="7"/>
  <c r="I90" i="7" s="1"/>
  <c r="F10" i="7"/>
  <c r="F62" i="7"/>
  <c r="W62" i="7" s="1"/>
  <c r="X62" i="7" s="1"/>
  <c r="F63" i="7"/>
  <c r="W63" i="7" s="1"/>
  <c r="X63" i="7" s="1"/>
  <c r="F64" i="7"/>
  <c r="W64" i="7" s="1"/>
  <c r="X64" i="7" s="1"/>
  <c r="F65" i="7"/>
  <c r="W65" i="7" s="1"/>
  <c r="X65" i="7" s="1"/>
  <c r="F66" i="7"/>
  <c r="W66" i="7" s="1"/>
  <c r="X66" i="7" s="1"/>
  <c r="F67" i="7"/>
  <c r="W67" i="7" s="1"/>
  <c r="X67" i="7" s="1"/>
  <c r="F68" i="7"/>
  <c r="W68" i="7" s="1"/>
  <c r="X68" i="7" s="1"/>
  <c r="F69" i="7"/>
  <c r="J69" i="7" s="1"/>
  <c r="F70" i="7"/>
  <c r="W70" i="7" s="1"/>
  <c r="X70" i="7" s="1"/>
  <c r="F71" i="7"/>
  <c r="W71" i="7" s="1"/>
  <c r="X71" i="7" s="1"/>
  <c r="F72" i="7"/>
  <c r="W72" i="7" s="1"/>
  <c r="X72" i="7" s="1"/>
  <c r="F73" i="7"/>
  <c r="W73" i="7" s="1"/>
  <c r="X73" i="7" s="1"/>
  <c r="F74" i="7"/>
  <c r="W74" i="7" s="1"/>
  <c r="X74" i="7" s="1"/>
  <c r="F75" i="7"/>
  <c r="W75" i="7" s="1"/>
  <c r="X75" i="7" s="1"/>
  <c r="F76" i="7"/>
  <c r="W76" i="7" s="1"/>
  <c r="X76" i="7" s="1"/>
  <c r="F77" i="7"/>
  <c r="J77" i="7" s="1"/>
  <c r="F78" i="7"/>
  <c r="W78" i="7" s="1"/>
  <c r="X78" i="7" s="1"/>
  <c r="F79" i="7"/>
  <c r="W79" i="7" s="1"/>
  <c r="X79" i="7" s="1"/>
  <c r="F80" i="7"/>
  <c r="W80" i="7" s="1"/>
  <c r="X80" i="7" s="1"/>
  <c r="F81" i="7"/>
  <c r="W81" i="7" s="1"/>
  <c r="X81" i="7" s="1"/>
  <c r="F82" i="7"/>
  <c r="W82" i="7" s="1"/>
  <c r="X82" i="7" s="1"/>
  <c r="F83" i="7"/>
  <c r="W83" i="7" s="1"/>
  <c r="X83" i="7" s="1"/>
  <c r="F84" i="7"/>
  <c r="W84" i="7" s="1"/>
  <c r="X84" i="7" s="1"/>
  <c r="F85" i="7"/>
  <c r="W85" i="7" s="1"/>
  <c r="X85" i="7" s="1"/>
  <c r="F86" i="7"/>
  <c r="W86" i="7" s="1"/>
  <c r="X86" i="7" s="1"/>
  <c r="F87" i="7"/>
  <c r="W87" i="7" s="1"/>
  <c r="X87" i="7" s="1"/>
  <c r="F88" i="7"/>
  <c r="W88" i="7" s="1"/>
  <c r="X88" i="7" s="1"/>
  <c r="F89" i="7"/>
  <c r="W89" i="7" s="1"/>
  <c r="X89" i="7" s="1"/>
  <c r="F90" i="7"/>
  <c r="W90" i="7" s="1"/>
  <c r="X90" i="7" s="1"/>
  <c r="S85" i="7" l="1"/>
  <c r="S77" i="7"/>
  <c r="S69" i="7"/>
  <c r="S86" i="7"/>
  <c r="S78" i="7"/>
  <c r="S70" i="7"/>
  <c r="S62" i="7"/>
  <c r="S79" i="7"/>
  <c r="S71" i="7"/>
  <c r="S63" i="7"/>
  <c r="S84" i="7"/>
  <c r="S76" i="7"/>
  <c r="S68" i="7"/>
  <c r="S83" i="7"/>
  <c r="S75" i="7"/>
  <c r="S67" i="7"/>
  <c r="S65" i="7"/>
  <c r="S89" i="7"/>
  <c r="S81" i="7"/>
  <c r="S87" i="7"/>
  <c r="S73" i="7"/>
  <c r="S90" i="7"/>
  <c r="S82" i="7"/>
  <c r="S74" i="7"/>
  <c r="S66" i="7"/>
  <c r="S88" i="7"/>
  <c r="S80" i="7"/>
  <c r="S72" i="7"/>
  <c r="S64" i="7"/>
  <c r="J90" i="7"/>
  <c r="J82" i="7"/>
  <c r="W77" i="7"/>
  <c r="J74" i="7"/>
  <c r="J66" i="7"/>
  <c r="W69" i="7"/>
  <c r="J89" i="7"/>
  <c r="J81" i="7"/>
  <c r="J73" i="7"/>
  <c r="J65" i="7"/>
  <c r="J88" i="7"/>
  <c r="J80" i="7"/>
  <c r="J72" i="7"/>
  <c r="J64" i="7"/>
  <c r="J87" i="7"/>
  <c r="J79" i="7"/>
  <c r="J71" i="7"/>
  <c r="J63" i="7"/>
  <c r="J86" i="7"/>
  <c r="J78" i="7"/>
  <c r="J70" i="7"/>
  <c r="J62" i="7"/>
  <c r="J85" i="7"/>
  <c r="J84" i="7"/>
  <c r="J76" i="7"/>
  <c r="J68" i="7"/>
  <c r="J83" i="7"/>
  <c r="J75" i="7"/>
  <c r="J67" i="7"/>
  <c r="Y89" i="7"/>
  <c r="N89" i="7" s="1"/>
  <c r="Y64" i="7"/>
  <c r="N64" i="7" s="1"/>
  <c r="Y87" i="7"/>
  <c r="N87" i="7" s="1"/>
  <c r="Y79" i="7"/>
  <c r="N79" i="7" s="1"/>
  <c r="Y71" i="7"/>
  <c r="N71" i="7" s="1"/>
  <c r="Y63" i="7"/>
  <c r="N63" i="7" s="1"/>
  <c r="Y86" i="7"/>
  <c r="N86" i="7" s="1"/>
  <c r="Y78" i="7"/>
  <c r="N78" i="7" s="1"/>
  <c r="Y70" i="7"/>
  <c r="N70" i="7" s="1"/>
  <c r="Y62" i="7"/>
  <c r="N62" i="7" s="1"/>
  <c r="Y65" i="7"/>
  <c r="N65" i="7" s="1"/>
  <c r="Y73" i="7"/>
  <c r="N73" i="7" s="1"/>
  <c r="Y88" i="7"/>
  <c r="N88" i="7" s="1"/>
  <c r="Y84" i="7"/>
  <c r="N84" i="7" s="1"/>
  <c r="Y76" i="7"/>
  <c r="N76" i="7" s="1"/>
  <c r="Y68" i="7"/>
  <c r="N68" i="7" s="1"/>
  <c r="Y81" i="7"/>
  <c r="N81" i="7" s="1"/>
  <c r="Y80" i="7"/>
  <c r="N80" i="7" s="1"/>
  <c r="Y83" i="7"/>
  <c r="N83" i="7" s="1"/>
  <c r="Y75" i="7"/>
  <c r="N75" i="7" s="1"/>
  <c r="Y67" i="7"/>
  <c r="N67" i="7" s="1"/>
  <c r="Y90" i="7"/>
  <c r="N90" i="7" s="1"/>
  <c r="Y82" i="7"/>
  <c r="N82" i="7" s="1"/>
  <c r="Y74" i="7"/>
  <c r="N74" i="7" s="1"/>
  <c r="Y66" i="7"/>
  <c r="N66" i="7" s="1"/>
  <c r="Y72" i="7"/>
  <c r="N72" i="7" s="1"/>
  <c r="Y85" i="7"/>
  <c r="N85" i="7" s="1"/>
  <c r="AS1" i="7"/>
  <c r="AQ1" i="7"/>
  <c r="AO1" i="7"/>
  <c r="C5" i="7"/>
  <c r="V10" i="7" a="1"/>
  <c r="V10" i="7" s="1"/>
  <c r="B10" i="7" l="1"/>
  <c r="AH1" i="7"/>
  <c r="X69" i="7"/>
  <c r="Y69" i="7" s="1"/>
  <c r="N69" i="7" s="1"/>
  <c r="X77" i="7"/>
  <c r="Y77" i="7" s="1"/>
  <c r="N77" i="7" s="1"/>
  <c r="C7" i="7"/>
  <c r="G10" i="7"/>
  <c r="I10" i="7" s="1"/>
  <c r="W10" i="7" s="1"/>
  <c r="AF1" i="7"/>
  <c r="AJ1" i="7"/>
  <c r="B17" i="4"/>
  <c r="B16" i="4"/>
  <c r="B15" i="4"/>
  <c r="B14" i="4"/>
  <c r="B13" i="4"/>
  <c r="B12" i="4"/>
  <c r="B11" i="4"/>
  <c r="B10" i="4"/>
  <c r="B9" i="4"/>
  <c r="B8" i="4"/>
  <c r="B7" i="4"/>
  <c r="B6" i="4"/>
  <c r="X10" i="7" l="1"/>
  <c r="J10" i="7" s="1"/>
  <c r="Z10" i="7"/>
  <c r="AY1" i="7"/>
  <c r="C6" i="7"/>
  <c r="AZ1" i="7" s="1"/>
  <c r="Y10" i="7" l="1"/>
  <c r="N10" i="7" s="1"/>
  <c r="F11" i="7" l="1"/>
  <c r="S10" i="7"/>
  <c r="T10" i="7" s="1"/>
  <c r="U10" i="7" s="1"/>
  <c r="M10" i="7"/>
  <c r="V11" i="7" l="1" a="1"/>
  <c r="V11" i="7" s="1"/>
  <c r="G11" i="7" s="1"/>
  <c r="I11" i="7" s="1"/>
  <c r="W11" i="7" s="1"/>
  <c r="Z11" i="7" l="1"/>
  <c r="X11" i="7"/>
  <c r="J11" i="7" s="1"/>
  <c r="Y11" i="7" l="1"/>
  <c r="N11" i="7" s="1"/>
  <c r="S11" i="7"/>
  <c r="T11" i="7" s="1"/>
  <c r="U11" i="7" s="1"/>
  <c r="M11" i="7" l="1"/>
  <c r="F12" i="7"/>
  <c r="V12" i="7" s="1" a="1"/>
  <c r="V12" i="7" s="1"/>
  <c r="G12" i="7" s="1"/>
  <c r="I12" i="7" s="1"/>
  <c r="W12" i="7" l="1"/>
  <c r="Z12" i="7" l="1"/>
  <c r="X12" i="7"/>
  <c r="Y12" i="7" s="1"/>
  <c r="N12" i="7" l="1"/>
  <c r="J12" i="7"/>
  <c r="F13" i="7" s="1"/>
  <c r="S12" i="7"/>
  <c r="T12" i="7" s="1"/>
  <c r="U12" i="7" s="1"/>
  <c r="M12" i="7" l="1"/>
  <c r="V13" i="7" a="1"/>
  <c r="V13" i="7" s="1"/>
  <c r="G13" i="7" s="1"/>
  <c r="I13" i="7" s="1"/>
  <c r="W13" i="7" s="1"/>
  <c r="Z13" i="7" l="1"/>
  <c r="X13" i="7"/>
  <c r="Y13" i="7" s="1"/>
  <c r="N13" i="7" l="1"/>
  <c r="J13" i="7"/>
  <c r="M13" i="7" s="1"/>
  <c r="S13" i="7"/>
  <c r="T13" i="7" s="1"/>
  <c r="U13" i="7" s="1"/>
  <c r="F14" i="7" l="1"/>
  <c r="V14" i="7" a="1"/>
  <c r="V14" i="7" s="1"/>
  <c r="G14" i="7" s="1"/>
  <c r="I14" i="7" s="1"/>
  <c r="W14" i="7" s="1"/>
  <c r="Z14" i="7" l="1"/>
  <c r="X14" i="7"/>
  <c r="Y14" i="7" s="1"/>
  <c r="N14" i="7" l="1"/>
  <c r="J14" i="7"/>
  <c r="F15" i="7" s="1"/>
  <c r="S14" i="7"/>
  <c r="T14" i="7" s="1"/>
  <c r="U14" i="7" s="1"/>
  <c r="M14" i="7" l="1"/>
  <c r="V15" i="7" a="1"/>
  <c r="V15" i="7" s="1"/>
  <c r="G15" i="7" s="1"/>
  <c r="I15" i="7" s="1"/>
  <c r="W15" i="7" s="1"/>
  <c r="Z15" i="7" l="1"/>
  <c r="X15" i="7"/>
  <c r="Y15" i="7" s="1"/>
  <c r="N15" i="7" l="1"/>
  <c r="J15" i="7"/>
  <c r="M15" i="7" s="1"/>
  <c r="S15" i="7"/>
  <c r="T15" i="7" s="1"/>
  <c r="U15" i="7" s="1"/>
  <c r="F16" i="7" l="1"/>
  <c r="V16" i="7" a="1"/>
  <c r="V16" i="7" s="1"/>
  <c r="G16" i="7" s="1"/>
  <c r="I16" i="7" s="1"/>
  <c r="W16" i="7" s="1"/>
  <c r="Z16" i="7" l="1"/>
  <c r="X16" i="7"/>
  <c r="Y16" i="7" s="1"/>
  <c r="N16" i="7" l="1"/>
  <c r="J16" i="7"/>
  <c r="M16" i="7" s="1"/>
  <c r="S16" i="7"/>
  <c r="T16" i="7" s="1"/>
  <c r="U16" i="7" s="1"/>
  <c r="F17" i="7" l="1"/>
  <c r="V17" i="7" s="1" a="1"/>
  <c r="V17" i="7" s="1"/>
  <c r="G17" i="7" s="1"/>
  <c r="I17" i="7" s="1"/>
  <c r="W17" i="7" s="1"/>
  <c r="Z17" i="7" l="1"/>
  <c r="X17" i="7"/>
  <c r="Y17" i="7" s="1"/>
  <c r="N17" i="7" l="1"/>
  <c r="J17" i="7"/>
  <c r="F18" i="7" s="1"/>
  <c r="S17" i="7"/>
  <c r="T17" i="7" s="1"/>
  <c r="U17" i="7" s="1"/>
  <c r="M17" i="7" l="1"/>
  <c r="V18" i="7" a="1"/>
  <c r="V18" i="7" s="1"/>
  <c r="G18" i="7" s="1"/>
  <c r="I18" i="7" s="1"/>
  <c r="W18" i="7" s="1"/>
  <c r="Z18" i="7" l="1"/>
  <c r="X18" i="7"/>
  <c r="Y18" i="7" s="1"/>
  <c r="N18" i="7" l="1"/>
  <c r="J18" i="7"/>
  <c r="F19" i="7" s="1"/>
  <c r="S18" i="7"/>
  <c r="T18" i="7" s="1"/>
  <c r="U18" i="7" s="1"/>
  <c r="M18" i="7" l="1"/>
  <c r="V19" i="7" a="1"/>
  <c r="V19" i="7" s="1"/>
  <c r="G19" i="7" s="1"/>
  <c r="I19" i="7" s="1"/>
  <c r="W19" i="7" s="1"/>
  <c r="Z19" i="7" l="1"/>
  <c r="X19" i="7"/>
  <c r="Y19" i="7" s="1"/>
  <c r="N19" i="7" l="1"/>
  <c r="J19" i="7"/>
  <c r="M19" i="7" s="1"/>
  <c r="S19" i="7"/>
  <c r="T19" i="7" s="1"/>
  <c r="U19" i="7" s="1"/>
  <c r="F20" i="7" l="1"/>
  <c r="V20" i="7" a="1"/>
  <c r="V20" i="7" s="1"/>
  <c r="G20" i="7" s="1"/>
  <c r="I20" i="7" s="1"/>
  <c r="W20" i="7" s="1"/>
  <c r="Z20" i="7" l="1"/>
  <c r="X20" i="7"/>
  <c r="Y20" i="7" s="1"/>
  <c r="N20" i="7" l="1"/>
  <c r="J20" i="7"/>
  <c r="F21" i="7" s="1"/>
  <c r="S20" i="7"/>
  <c r="T20" i="7" s="1"/>
  <c r="U20" i="7" s="1"/>
  <c r="M20" i="7" l="1"/>
  <c r="V21" i="7" a="1"/>
  <c r="V21" i="7" s="1"/>
  <c r="G21" i="7" s="1"/>
  <c r="I21" i="7" s="1"/>
  <c r="W21" i="7" s="1"/>
  <c r="Z21" i="7" l="1"/>
  <c r="X21" i="7"/>
  <c r="Y21" i="7" s="1"/>
  <c r="N21" i="7" l="1"/>
  <c r="J21" i="7"/>
  <c r="F22" i="7" s="1"/>
  <c r="S21" i="7"/>
  <c r="T21" i="7" s="1"/>
  <c r="U21" i="7" s="1"/>
  <c r="M21" i="7" l="1"/>
  <c r="V22" i="7" a="1"/>
  <c r="V22" i="7" s="1"/>
  <c r="G22" i="7" s="1"/>
  <c r="I22" i="7" s="1"/>
  <c r="W22" i="7" s="1"/>
  <c r="Z22" i="7" l="1"/>
  <c r="X22" i="7"/>
  <c r="Y22" i="7" s="1"/>
  <c r="N22" i="7" l="1"/>
  <c r="J22" i="7"/>
  <c r="F23" i="7" s="1"/>
  <c r="S22" i="7"/>
  <c r="T22" i="7" s="1"/>
  <c r="U22" i="7" s="1"/>
  <c r="M22" i="7" l="1"/>
  <c r="V23" i="7" a="1"/>
  <c r="V23" i="7" s="1"/>
  <c r="G23" i="7" s="1"/>
  <c r="I23" i="7" s="1"/>
  <c r="W23" i="7" s="1"/>
  <c r="Z23" i="7" l="1"/>
  <c r="X23" i="7"/>
  <c r="Y23" i="7" s="1"/>
  <c r="N23" i="7" l="1"/>
  <c r="J23" i="7"/>
  <c r="F24" i="7" s="1"/>
  <c r="S23" i="7"/>
  <c r="T23" i="7" s="1"/>
  <c r="U23" i="7" s="1"/>
  <c r="M23" i="7" l="1"/>
  <c r="V24" i="7" a="1"/>
  <c r="V24" i="7" s="1"/>
  <c r="G24" i="7" s="1"/>
  <c r="I24" i="7" s="1"/>
  <c r="W24" i="7" s="1"/>
  <c r="Z24" i="7" l="1"/>
  <c r="X24" i="7"/>
  <c r="Y24" i="7" s="1"/>
  <c r="N24" i="7" l="1"/>
  <c r="J24" i="7"/>
  <c r="M24" i="7" s="1"/>
  <c r="S24" i="7"/>
  <c r="T24" i="7" s="1"/>
  <c r="U24" i="7" s="1"/>
  <c r="F25" i="7" l="1"/>
  <c r="V25" i="7" a="1"/>
  <c r="V25" i="7" s="1"/>
  <c r="G25" i="7" s="1"/>
  <c r="I25" i="7" s="1"/>
  <c r="W25" i="7" s="1"/>
  <c r="Z25" i="7" l="1"/>
  <c r="X25" i="7"/>
  <c r="Y25" i="7" s="1"/>
  <c r="N25" i="7" l="1"/>
  <c r="J25" i="7"/>
  <c r="F26" i="7" s="1"/>
  <c r="S25" i="7"/>
  <c r="T25" i="7" s="1"/>
  <c r="U25" i="7" s="1"/>
  <c r="M25" i="7" l="1"/>
  <c r="V26" i="7" a="1"/>
  <c r="V26" i="7" s="1"/>
  <c r="G26" i="7" s="1"/>
  <c r="I26" i="7" s="1"/>
  <c r="W26" i="7" s="1"/>
  <c r="Z26" i="7" l="1"/>
  <c r="X26" i="7"/>
  <c r="Y26" i="7" s="1"/>
  <c r="N26" i="7" l="1"/>
  <c r="J26" i="7"/>
  <c r="F27" i="7" s="1"/>
  <c r="S26" i="7"/>
  <c r="T26" i="7" s="1"/>
  <c r="U26" i="7" s="1"/>
  <c r="M26" i="7" l="1"/>
  <c r="V27" i="7" a="1"/>
  <c r="V27" i="7" s="1"/>
  <c r="G27" i="7" s="1"/>
  <c r="I27" i="7" s="1"/>
  <c r="W27" i="7" s="1"/>
  <c r="Z27" i="7" l="1"/>
  <c r="X27" i="7"/>
  <c r="Y27" i="7" s="1"/>
  <c r="N27" i="7" l="1"/>
  <c r="J27" i="7"/>
  <c r="S27" i="7"/>
  <c r="T27" i="7" s="1"/>
  <c r="U27" i="7" s="1"/>
  <c r="F28" i="7"/>
  <c r="M27" i="7"/>
  <c r="V28" i="7" l="1" a="1"/>
  <c r="V28" i="7" s="1"/>
  <c r="G28" i="7" s="1"/>
  <c r="I28" i="7" s="1"/>
  <c r="W28" i="7" s="1"/>
  <c r="Z28" i="7" l="1"/>
  <c r="X28" i="7"/>
  <c r="Y28" i="7" s="1"/>
  <c r="J28" i="7" l="1"/>
  <c r="M28" i="7" s="1"/>
  <c r="S28" i="7"/>
  <c r="T28" i="7" s="1"/>
  <c r="U28" i="7" s="1"/>
  <c r="N28" i="7" l="1"/>
  <c r="F29" i="7"/>
  <c r="V29" i="7" a="1"/>
  <c r="V29" i="7" s="1"/>
  <c r="G29" i="7" s="1"/>
  <c r="I29" i="7" s="1"/>
  <c r="W29" i="7" s="1"/>
  <c r="Z29" i="7" l="1"/>
  <c r="X29" i="7"/>
  <c r="Y29" i="7" s="1"/>
  <c r="J29" i="7" l="1"/>
  <c r="F30" i="7" s="1"/>
  <c r="S29" i="7"/>
  <c r="T29" i="7" s="1"/>
  <c r="U29" i="7" s="1"/>
  <c r="M29" i="7"/>
  <c r="N29" i="7" l="1"/>
  <c r="V30" i="7" a="1"/>
  <c r="V30" i="7" s="1"/>
  <c r="G30" i="7" s="1"/>
  <c r="I30" i="7" s="1"/>
  <c r="W30" i="7" s="1"/>
  <c r="Z30" i="7" l="1"/>
  <c r="X30" i="7"/>
  <c r="Y30" i="7" s="1"/>
  <c r="J30" i="7" l="1"/>
  <c r="M30" i="7" s="1"/>
  <c r="S30" i="7"/>
  <c r="T30" i="7" s="1"/>
  <c r="U30" i="7" s="1"/>
  <c r="N30" i="7" l="1"/>
  <c r="F31" i="7"/>
  <c r="V31" i="7" a="1"/>
  <c r="V31" i="7" s="1"/>
  <c r="G31" i="7" s="1"/>
  <c r="I31" i="7" s="1"/>
  <c r="W31" i="7" s="1"/>
  <c r="Z31" i="7" l="1"/>
  <c r="X31" i="7"/>
  <c r="Y31" i="7" s="1"/>
  <c r="J31" i="7" l="1"/>
  <c r="F32" i="7" s="1"/>
  <c r="S31" i="7"/>
  <c r="T31" i="7" s="1"/>
  <c r="U31" i="7" s="1"/>
  <c r="N31" i="7" l="1"/>
  <c r="M31" i="7"/>
  <c r="V32" i="7" a="1"/>
  <c r="V32" i="7" s="1"/>
  <c r="G32" i="7" s="1"/>
  <c r="I32" i="7" s="1"/>
  <c r="W32" i="7" s="1"/>
  <c r="Z32" i="7" l="1"/>
  <c r="X32" i="7"/>
  <c r="Y32" i="7" s="1"/>
  <c r="J32" i="7" l="1"/>
  <c r="F33" i="7" s="1"/>
  <c r="S32" i="7"/>
  <c r="T32" i="7" s="1"/>
  <c r="U32" i="7" s="1"/>
  <c r="N32" i="7" l="1"/>
  <c r="M32" i="7"/>
  <c r="V33" i="7" a="1"/>
  <c r="V33" i="7" s="1"/>
  <c r="G33" i="7" s="1"/>
  <c r="I33" i="7" s="1"/>
  <c r="W33" i="7" s="1"/>
  <c r="Z33" i="7" l="1"/>
  <c r="X33" i="7"/>
  <c r="Y33" i="7" s="1"/>
  <c r="J33" i="7" l="1"/>
  <c r="M33" i="7" s="1"/>
  <c r="S33" i="7"/>
  <c r="T33" i="7" s="1"/>
  <c r="U33" i="7" s="1"/>
  <c r="N33" i="7" l="1"/>
  <c r="F34" i="7"/>
  <c r="V34" i="7" a="1"/>
  <c r="V34" i="7" s="1"/>
  <c r="G34" i="7" s="1"/>
  <c r="I34" i="7" s="1"/>
  <c r="W34" i="7" s="1"/>
  <c r="Z34" i="7" l="1"/>
  <c r="X34" i="7"/>
  <c r="Y34" i="7" s="1"/>
  <c r="J34" i="7" l="1"/>
  <c r="F35" i="7" s="1"/>
  <c r="S34" i="7"/>
  <c r="T34" i="7" s="1"/>
  <c r="U34" i="7" s="1"/>
  <c r="N34" i="7" l="1"/>
  <c r="M34" i="7"/>
  <c r="V35" i="7" a="1"/>
  <c r="V35" i="7" s="1"/>
  <c r="G35" i="7" s="1"/>
  <c r="I35" i="7" s="1"/>
  <c r="W35" i="7" s="1"/>
  <c r="Z35" i="7" l="1"/>
  <c r="X35" i="7"/>
  <c r="Y35" i="7" s="1"/>
  <c r="N35" i="7" l="1"/>
  <c r="J35" i="7"/>
  <c r="F36" i="7" s="1"/>
  <c r="S35" i="7"/>
  <c r="T35" i="7" s="1"/>
  <c r="U35" i="7" s="1"/>
  <c r="M35" i="7" l="1"/>
  <c r="V36" i="7" a="1"/>
  <c r="V36" i="7" s="1"/>
  <c r="G36" i="7" s="1"/>
  <c r="I36" i="7" s="1"/>
  <c r="W36" i="7" s="1"/>
  <c r="Z36" i="7" l="1"/>
  <c r="X36" i="7"/>
  <c r="Y36" i="7" s="1"/>
  <c r="J36" i="7" l="1"/>
  <c r="F37" i="7" s="1"/>
  <c r="S36" i="7"/>
  <c r="T36" i="7" s="1"/>
  <c r="U36" i="7" s="1"/>
  <c r="N36" i="7" l="1"/>
  <c r="M36" i="7"/>
  <c r="V37" i="7" a="1"/>
  <c r="V37" i="7" s="1"/>
  <c r="G37" i="7" s="1"/>
  <c r="I37" i="7" s="1"/>
  <c r="W37" i="7" s="1"/>
  <c r="Z37" i="7" l="1"/>
  <c r="X37" i="7"/>
  <c r="Y37" i="7" s="1"/>
  <c r="J37" i="7" l="1"/>
  <c r="M37" i="7" s="1"/>
  <c r="S37" i="7"/>
  <c r="T37" i="7" s="1"/>
  <c r="U37" i="7" s="1"/>
  <c r="F38" i="7"/>
  <c r="N37" i="7" l="1"/>
  <c r="V38" i="7" a="1"/>
  <c r="V38" i="7" s="1"/>
  <c r="G38" i="7" s="1"/>
  <c r="I38" i="7" s="1"/>
  <c r="W38" i="7" s="1"/>
  <c r="Z38" i="7" l="1"/>
  <c r="X38" i="7"/>
  <c r="Y38" i="7" s="1"/>
  <c r="J38" i="7" l="1"/>
  <c r="F39" i="7" s="1"/>
  <c r="S38" i="7"/>
  <c r="T38" i="7" s="1"/>
  <c r="U38" i="7" s="1"/>
  <c r="M38" i="7"/>
  <c r="N38" i="7" l="1"/>
  <c r="V39" i="7" a="1"/>
  <c r="V39" i="7" s="1"/>
  <c r="G39" i="7" s="1"/>
  <c r="I39" i="7" s="1"/>
  <c r="W39" i="7" s="1"/>
  <c r="Z39" i="7" l="1"/>
  <c r="X39" i="7"/>
  <c r="Y39" i="7" s="1"/>
  <c r="J39" i="7" l="1"/>
  <c r="F40" i="7" s="1"/>
  <c r="S39" i="7"/>
  <c r="T39" i="7" s="1"/>
  <c r="U39" i="7" s="1"/>
  <c r="N39" i="7" l="1"/>
  <c r="M39" i="7"/>
  <c r="V40" i="7" a="1"/>
  <c r="V40" i="7" s="1"/>
  <c r="G40" i="7" s="1"/>
  <c r="I40" i="7" s="1"/>
  <c r="W40" i="7" s="1"/>
  <c r="Z40" i="7" l="1"/>
  <c r="X40" i="7"/>
  <c r="Y40" i="7" s="1"/>
  <c r="J40" i="7" l="1"/>
  <c r="F41" i="7" s="1"/>
  <c r="S40" i="7"/>
  <c r="T40" i="7" s="1"/>
  <c r="U40" i="7" s="1"/>
  <c r="N40" i="7" l="1"/>
  <c r="M40" i="7"/>
  <c r="V41" i="7" a="1"/>
  <c r="V41" i="7" s="1"/>
  <c r="G41" i="7" s="1"/>
  <c r="I41" i="7" s="1"/>
  <c r="W41" i="7" s="1"/>
  <c r="Z41" i="7" l="1"/>
  <c r="X41" i="7"/>
  <c r="J41" i="7" s="1"/>
  <c r="Y41" i="7" l="1"/>
  <c r="F42" i="7"/>
  <c r="S41" i="7"/>
  <c r="T41" i="7" s="1"/>
  <c r="U41" i="7" s="1"/>
  <c r="M41" i="7"/>
  <c r="N41" i="7" l="1"/>
  <c r="V42" i="7" a="1"/>
  <c r="V42" i="7" s="1"/>
  <c r="G42" i="7" s="1"/>
  <c r="I42" i="7" s="1"/>
  <c r="W42" i="7" s="1"/>
  <c r="Z42" i="7" l="1"/>
  <c r="X42" i="7"/>
  <c r="Y42" i="7" s="1"/>
  <c r="J42" i="7" l="1"/>
  <c r="F43" i="7" s="1"/>
  <c r="S42" i="7"/>
  <c r="T42" i="7" s="1"/>
  <c r="N42" i="7" s="1"/>
  <c r="U42" i="7" l="1"/>
  <c r="M42" i="7"/>
  <c r="V43" i="7" a="1"/>
  <c r="V43" i="7" s="1"/>
  <c r="G43" i="7" s="1"/>
  <c r="I43" i="7" s="1"/>
  <c r="W43" i="7" s="1"/>
  <c r="Z43" i="7" l="1"/>
  <c r="X43" i="7"/>
  <c r="Y43" i="7" s="1"/>
  <c r="J43" i="7" l="1"/>
  <c r="M43" i="7" s="1"/>
  <c r="S43" i="7"/>
  <c r="T43" i="7" s="1"/>
  <c r="U43" i="7" s="1"/>
  <c r="N43" i="7" l="1"/>
  <c r="F44" i="7"/>
  <c r="V44" i="7" a="1"/>
  <c r="V44" i="7" s="1"/>
  <c r="G44" i="7" s="1"/>
  <c r="I44" i="7" s="1"/>
  <c r="W44" i="7" s="1"/>
  <c r="Z44" i="7" l="1"/>
  <c r="X44" i="7"/>
  <c r="Y44" i="7" s="1"/>
  <c r="J44" i="7" l="1"/>
  <c r="M44" i="7" s="1"/>
  <c r="S44" i="7"/>
  <c r="T44" i="7" s="1"/>
  <c r="U44" i="7" s="1"/>
  <c r="F45" i="7"/>
  <c r="V62" i="7" a="1"/>
  <c r="V62" i="7" s="1"/>
  <c r="N44" i="7" l="1"/>
  <c r="V45" i="7" a="1"/>
  <c r="V45" i="7" s="1"/>
  <c r="G45" i="7" s="1"/>
  <c r="I45" i="7" s="1"/>
  <c r="W45" i="7" s="1"/>
  <c r="M62" i="7"/>
  <c r="Z45" i="7" l="1"/>
  <c r="X45" i="7"/>
  <c r="Y45" i="7" s="1"/>
  <c r="V63" i="7" a="1"/>
  <c r="V63" i="7" s="1"/>
  <c r="J45" i="7" l="1"/>
  <c r="S45" i="7"/>
  <c r="T45" i="7" s="1"/>
  <c r="U45" i="7" s="1"/>
  <c r="F46" i="7"/>
  <c r="M45" i="7"/>
  <c r="M63" i="7"/>
  <c r="N45" i="7" l="1"/>
  <c r="V46" i="7" a="1"/>
  <c r="V46" i="7" s="1"/>
  <c r="G46" i="7" s="1"/>
  <c r="I46" i="7" s="1"/>
  <c r="W46" i="7" s="1"/>
  <c r="V64" i="7" a="1"/>
  <c r="V64" i="7" s="1"/>
  <c r="Z46" i="7" l="1"/>
  <c r="X46" i="7"/>
  <c r="Y46" i="7" s="1"/>
  <c r="M64" i="7"/>
  <c r="J46" i="7" l="1"/>
  <c r="S46" i="7"/>
  <c r="T46" i="7" s="1"/>
  <c r="U46" i="7" s="1"/>
  <c r="M46" i="7"/>
  <c r="F47" i="7"/>
  <c r="V65" i="7" a="1"/>
  <c r="V65" i="7" s="1"/>
  <c r="N46" i="7" l="1"/>
  <c r="V47" i="7" a="1"/>
  <c r="V47" i="7" s="1"/>
  <c r="G47" i="7" s="1"/>
  <c r="I47" i="7" s="1"/>
  <c r="W47" i="7" s="1"/>
  <c r="X47" i="7" s="1"/>
  <c r="M65" i="7"/>
  <c r="Z47" i="7" l="1"/>
  <c r="Y47" i="7"/>
  <c r="V66" i="7" a="1"/>
  <c r="V66" i="7" s="1"/>
  <c r="J47" i="7" l="1"/>
  <c r="F48" i="7" s="1"/>
  <c r="S47" i="7"/>
  <c r="T47" i="7" s="1"/>
  <c r="U47" i="7" s="1"/>
  <c r="M66" i="7"/>
  <c r="M47" i="7" l="1"/>
  <c r="N47" i="7"/>
  <c r="V48" i="7" a="1"/>
  <c r="V48" i="7" s="1"/>
  <c r="G48" i="7" s="1"/>
  <c r="I48" i="7" s="1"/>
  <c r="W48" i="7" s="1"/>
  <c r="V67" i="7" a="1"/>
  <c r="V67" i="7" s="1"/>
  <c r="Z48" i="7" l="1"/>
  <c r="X48" i="7"/>
  <c r="Y48" i="7" s="1"/>
  <c r="M67" i="7"/>
  <c r="J48" i="7" l="1"/>
  <c r="F49" i="7" s="1"/>
  <c r="S48" i="7"/>
  <c r="T48" i="7" s="1"/>
  <c r="U48" i="7" s="1"/>
  <c r="V68" i="7" a="1"/>
  <c r="V68" i="7" s="1"/>
  <c r="M48" i="7" l="1"/>
  <c r="N48" i="7"/>
  <c r="V49" i="7" a="1"/>
  <c r="V49" i="7" s="1"/>
  <c r="G49" i="7" s="1"/>
  <c r="I49" i="7" s="1"/>
  <c r="W49" i="7" s="1"/>
  <c r="M68" i="7"/>
  <c r="Z49" i="7" l="1"/>
  <c r="X49" i="7"/>
  <c r="Y49" i="7" s="1"/>
  <c r="V69" i="7" a="1"/>
  <c r="V69" i="7" s="1"/>
  <c r="J49" i="7" l="1"/>
  <c r="F50" i="7" s="1"/>
  <c r="S49" i="7"/>
  <c r="T49" i="7" s="1"/>
  <c r="U49" i="7" s="1"/>
  <c r="M69" i="7"/>
  <c r="M49" i="7" l="1"/>
  <c r="N49" i="7"/>
  <c r="V50" i="7" a="1"/>
  <c r="V50" i="7" s="1"/>
  <c r="G50" i="7" s="1"/>
  <c r="I50" i="7" s="1"/>
  <c r="W50" i="7" s="1"/>
  <c r="V70" i="7" a="1"/>
  <c r="V70" i="7" s="1"/>
  <c r="Z50" i="7" l="1"/>
  <c r="X50" i="7"/>
  <c r="Y50" i="7" s="1"/>
  <c r="M70" i="7"/>
  <c r="J50" i="7" l="1"/>
  <c r="F51" i="7" s="1"/>
  <c r="S50" i="7"/>
  <c r="T50" i="7" s="1"/>
  <c r="U50" i="7" s="1"/>
  <c r="V71" i="7" a="1"/>
  <c r="V71" i="7" s="1"/>
  <c r="M50" i="7" l="1"/>
  <c r="N50" i="7"/>
  <c r="V51" i="7" a="1"/>
  <c r="V51" i="7" s="1"/>
  <c r="G51" i="7" s="1"/>
  <c r="I51" i="7" s="1"/>
  <c r="W51" i="7" s="1"/>
  <c r="M71" i="7"/>
  <c r="Z51" i="7" l="1"/>
  <c r="X51" i="7"/>
  <c r="Y51" i="7" s="1"/>
  <c r="V72" i="7" a="1"/>
  <c r="V72" i="7" s="1"/>
  <c r="J51" i="7" l="1"/>
  <c r="F52" i="7" s="1"/>
  <c r="S51" i="7"/>
  <c r="T51" i="7" s="1"/>
  <c r="U51" i="7" s="1"/>
  <c r="M72" i="7"/>
  <c r="M51" i="7" l="1"/>
  <c r="N51" i="7"/>
  <c r="V52" i="7" a="1"/>
  <c r="V52" i="7" s="1"/>
  <c r="G52" i="7" s="1"/>
  <c r="I52" i="7" s="1"/>
  <c r="W52" i="7" s="1"/>
  <c r="Z52" i="7" s="1"/>
  <c r="S52" i="7" s="1"/>
  <c r="V73" i="7" a="1"/>
  <c r="V73" i="7" s="1"/>
  <c r="X52" i="7" l="1"/>
  <c r="Y52" i="7" s="1"/>
  <c r="M73" i="7"/>
  <c r="J52" i="7" l="1"/>
  <c r="F53" i="7" s="1"/>
  <c r="T52" i="7"/>
  <c r="U52" i="7" s="1"/>
  <c r="V74" i="7" a="1"/>
  <c r="V74" i="7" s="1"/>
  <c r="M52" i="7" l="1"/>
  <c r="N52" i="7"/>
  <c r="V53" i="7" a="1"/>
  <c r="V53" i="7" s="1"/>
  <c r="G53" i="7" s="1"/>
  <c r="I53" i="7" s="1"/>
  <c r="W53" i="7" s="1"/>
  <c r="M74" i="7"/>
  <c r="Z53" i="7" l="1"/>
  <c r="X53" i="7"/>
  <c r="Y53" i="7" s="1"/>
  <c r="V75" i="7" a="1"/>
  <c r="V75" i="7" s="1"/>
  <c r="J53" i="7" l="1"/>
  <c r="F54" i="7" s="1"/>
  <c r="S53" i="7"/>
  <c r="T53" i="7" s="1"/>
  <c r="U53" i="7" s="1"/>
  <c r="M75" i="7"/>
  <c r="M53" i="7" l="1"/>
  <c r="N53" i="7"/>
  <c r="V54" i="7" a="1"/>
  <c r="V54" i="7" s="1"/>
  <c r="G54" i="7" s="1"/>
  <c r="I54" i="7" s="1"/>
  <c r="W54" i="7" s="1"/>
  <c r="V76" i="7" a="1"/>
  <c r="V76" i="7" s="1"/>
  <c r="Z54" i="7" l="1"/>
  <c r="X54" i="7"/>
  <c r="Y54" i="7" s="1"/>
  <c r="M76" i="7"/>
  <c r="J54" i="7" l="1"/>
  <c r="F55" i="7" s="1"/>
  <c r="S54" i="7"/>
  <c r="T54" i="7" s="1"/>
  <c r="U54" i="7" s="1"/>
  <c r="V77" i="7" a="1"/>
  <c r="V77" i="7" s="1"/>
  <c r="N54" i="7" l="1"/>
  <c r="M54" i="7"/>
  <c r="V55" i="7" a="1"/>
  <c r="V55" i="7" s="1"/>
  <c r="G55" i="7" s="1"/>
  <c r="I55" i="7" s="1"/>
  <c r="W55" i="7" s="1"/>
  <c r="M77" i="7"/>
  <c r="Z55" i="7" l="1"/>
  <c r="X55" i="7"/>
  <c r="Y55" i="7" s="1"/>
  <c r="V78" i="7" a="1"/>
  <c r="V78" i="7" s="1"/>
  <c r="J55" i="7" l="1"/>
  <c r="M55" i="7" s="1"/>
  <c r="S55" i="7"/>
  <c r="T55" i="7" s="1"/>
  <c r="U55" i="7" s="1"/>
  <c r="M78" i="7"/>
  <c r="F56" i="7" l="1"/>
  <c r="V56" i="7" s="1" a="1"/>
  <c r="V56" i="7" s="1"/>
  <c r="G56" i="7" s="1"/>
  <c r="I56" i="7" s="1"/>
  <c r="W56" i="7" s="1"/>
  <c r="Z56" i="7" s="1"/>
  <c r="N55" i="7"/>
  <c r="V79" i="7" a="1"/>
  <c r="V79" i="7" s="1"/>
  <c r="X56" i="7" l="1"/>
  <c r="Y56" i="7" s="1"/>
  <c r="M79" i="7"/>
  <c r="J56" i="7" l="1"/>
  <c r="M56" i="7" s="1"/>
  <c r="F57" i="7"/>
  <c r="S56" i="7"/>
  <c r="T56" i="7" s="1"/>
  <c r="U56" i="7" s="1"/>
  <c r="V80" i="7" a="1"/>
  <c r="V80" i="7" s="1"/>
  <c r="N56" i="7" l="1"/>
  <c r="V57" i="7" a="1"/>
  <c r="V57" i="7" s="1"/>
  <c r="G57" i="7" s="1"/>
  <c r="I57" i="7" s="1"/>
  <c r="W57" i="7" s="1"/>
  <c r="M80" i="7"/>
  <c r="X57" i="7" l="1"/>
  <c r="Y57" i="7" s="1"/>
  <c r="Z57" i="7"/>
  <c r="V81" i="7" a="1"/>
  <c r="V81" i="7" s="1"/>
  <c r="N57" i="7" l="1"/>
  <c r="J57" i="7"/>
  <c r="M57" i="7" s="1"/>
  <c r="S57" i="7"/>
  <c r="T57" i="7" s="1"/>
  <c r="U57" i="7" s="1"/>
  <c r="F58" i="7"/>
  <c r="M81" i="7"/>
  <c r="V58" i="7" l="1" a="1"/>
  <c r="V58" i="7" s="1"/>
  <c r="G58" i="7" s="1"/>
  <c r="I58" i="7" s="1"/>
  <c r="W58" i="7" s="1"/>
  <c r="V82" i="7" a="1"/>
  <c r="V82" i="7" s="1"/>
  <c r="X58" i="7" l="1"/>
  <c r="Y58" i="7" s="1"/>
  <c r="Z58" i="7"/>
  <c r="M82" i="7"/>
  <c r="N58" i="7" l="1"/>
  <c r="J58" i="7"/>
  <c r="S58" i="7"/>
  <c r="T58" i="7" s="1"/>
  <c r="U58" i="7" s="1"/>
  <c r="V83" i="7" a="1"/>
  <c r="V83" i="7" s="1"/>
  <c r="M58" i="7" l="1"/>
  <c r="F59" i="7"/>
  <c r="M83" i="7"/>
  <c r="V59" i="7" l="1" a="1"/>
  <c r="V59" i="7" s="1"/>
  <c r="G59" i="7" s="1"/>
  <c r="I59" i="7" s="1"/>
  <c r="W59" i="7" s="1"/>
  <c r="V84" i="7" a="1"/>
  <c r="V84" i="7" s="1"/>
  <c r="X59" i="7" l="1"/>
  <c r="Z59" i="7"/>
  <c r="S59" i="7" s="1"/>
  <c r="T59" i="7" s="1"/>
  <c r="U59" i="7" s="1"/>
  <c r="M84" i="7"/>
  <c r="Y59" i="7" l="1"/>
  <c r="N59" i="7" s="1"/>
  <c r="J59" i="7"/>
  <c r="V85" i="7" a="1"/>
  <c r="V85" i="7" s="1"/>
  <c r="F60" i="7" l="1"/>
  <c r="M59" i="7"/>
  <c r="M85" i="7"/>
  <c r="V60" i="7" l="1" a="1"/>
  <c r="V60" i="7" s="1"/>
  <c r="G60" i="7" s="1"/>
  <c r="I60" i="7" s="1"/>
  <c r="W60" i="7" s="1"/>
  <c r="V86" i="7" a="1"/>
  <c r="V86" i="7" s="1"/>
  <c r="X60" i="7" l="1"/>
  <c r="Z60" i="7"/>
  <c r="S60" i="7" s="1"/>
  <c r="T60" i="7" s="1"/>
  <c r="U60" i="7" s="1"/>
  <c r="M86" i="7"/>
  <c r="Y60" i="7" l="1"/>
  <c r="N60" i="7" s="1"/>
  <c r="J60" i="7"/>
  <c r="V87" i="7" a="1"/>
  <c r="V87" i="7" s="1"/>
  <c r="M60" i="7" l="1"/>
  <c r="F61" i="7"/>
  <c r="M87" i="7"/>
  <c r="V61" i="7" l="1" a="1"/>
  <c r="V61" i="7" s="1"/>
  <c r="G61" i="7" s="1"/>
  <c r="I61" i="7" s="1"/>
  <c r="W61" i="7" s="1"/>
  <c r="V88" i="7" a="1"/>
  <c r="V88" i="7" s="1"/>
  <c r="Z61" i="7" l="1"/>
  <c r="S61" i="7" s="1"/>
  <c r="T61" i="7" s="1"/>
  <c r="U61" i="7" s="1"/>
  <c r="X61" i="7"/>
  <c r="M88" i="7"/>
  <c r="Y61" i="7" l="1"/>
  <c r="N61" i="7" s="1"/>
  <c r="J61" i="7"/>
  <c r="M61" i="7" s="1"/>
  <c r="V89" i="7" a="1"/>
  <c r="V89" i="7" s="1"/>
  <c r="M89" i="7" l="1"/>
  <c r="M90" i="7" l="1"/>
  <c r="V90" i="7" a="1"/>
  <c r="V90" i="7" s="1"/>
  <c r="C11" i="7" l="1"/>
  <c r="C12" i="7" l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C54" i="7" s="1"/>
  <c r="C55" i="7" s="1"/>
  <c r="C56" i="7" s="1"/>
  <c r="C57" i="7" s="1"/>
  <c r="C58" i="7" s="1"/>
  <c r="C59" i="7" s="1"/>
  <c r="C60" i="7" s="1"/>
  <c r="C61" i="7" s="1"/>
  <c r="C62" i="7" s="1"/>
  <c r="C63" i="7" s="1"/>
  <c r="C64" i="7" s="1"/>
  <c r="C65" i="7" s="1"/>
  <c r="C66" i="7" s="1"/>
  <c r="C67" i="7" s="1"/>
  <c r="C68" i="7" s="1"/>
  <c r="C69" i="7" s="1"/>
  <c r="C70" i="7" s="1"/>
  <c r="C71" i="7" s="1"/>
  <c r="C72" i="7" s="1"/>
  <c r="C73" i="7" s="1"/>
  <c r="C74" i="7" s="1"/>
  <c r="C75" i="7" s="1"/>
  <c r="C76" i="7" s="1"/>
  <c r="C77" i="7" s="1"/>
  <c r="C78" i="7" s="1"/>
  <c r="C79" i="7" s="1"/>
  <c r="C80" i="7" s="1"/>
  <c r="C81" i="7" s="1"/>
  <c r="C82" i="7" s="1"/>
  <c r="C83" i="7" s="1"/>
  <c r="C84" i="7" s="1"/>
  <c r="C85" i="7" s="1"/>
  <c r="C86" i="7" s="1"/>
  <c r="C87" i="7" s="1"/>
  <c r="C88" i="7" s="1"/>
  <c r="C89" i="7" s="1"/>
  <c r="C90" i="7" s="1"/>
  <c r="B11" i="7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B37" i="7" s="1"/>
  <c r="B38" i="7" s="1"/>
  <c r="B39" i="7" s="1"/>
  <c r="B40" i="7" s="1"/>
  <c r="B41" i="7" s="1"/>
  <c r="B42" i="7" s="1"/>
  <c r="B43" i="7" s="1"/>
  <c r="B44" i="7" s="1"/>
  <c r="B45" i="7" s="1"/>
  <c r="B46" i="7" s="1"/>
  <c r="B47" i="7" s="1"/>
  <c r="B48" i="7" s="1"/>
  <c r="B49" i="7" s="1"/>
  <c r="B50" i="7" s="1"/>
  <c r="B51" i="7" s="1"/>
  <c r="B52" i="7" s="1"/>
  <c r="B53" i="7" s="1"/>
  <c r="B54" i="7" s="1"/>
  <c r="B55" i="7" s="1"/>
  <c r="B56" i="7" s="1"/>
  <c r="B57" i="7" s="1"/>
  <c r="B58" i="7" s="1"/>
  <c r="B59" i="7" s="1"/>
  <c r="B60" i="7" s="1"/>
  <c r="B61" i="7" s="1"/>
  <c r="B62" i="7" s="1"/>
  <c r="B63" i="7" s="1"/>
  <c r="B64" i="7" s="1"/>
  <c r="B65" i="7" s="1"/>
  <c r="B66" i="7" s="1"/>
  <c r="B67" i="7" s="1"/>
  <c r="B68" i="7" s="1"/>
  <c r="B69" i="7" s="1"/>
  <c r="B70" i="7" s="1"/>
  <c r="B71" i="7" s="1"/>
  <c r="B72" i="7" s="1"/>
  <c r="B73" i="7" s="1"/>
  <c r="B74" i="7" s="1"/>
  <c r="B75" i="7" s="1"/>
  <c r="B76" i="7" s="1"/>
  <c r="B77" i="7" s="1"/>
  <c r="B78" i="7" s="1"/>
  <c r="B79" i="7" s="1"/>
  <c r="B80" i="7" s="1"/>
  <c r="B81" i="7" s="1"/>
  <c r="B82" i="7" s="1"/>
  <c r="B83" i="7" s="1"/>
  <c r="B84" i="7" s="1"/>
  <c r="B85" i="7" s="1"/>
  <c r="B86" i="7" s="1"/>
  <c r="B87" i="7" s="1"/>
  <c r="B88" i="7" s="1"/>
  <c r="B89" i="7" s="1"/>
  <c r="B90" i="7" s="1"/>
</calcChain>
</file>

<file path=xl/sharedStrings.xml><?xml version="1.0" encoding="utf-8"?>
<sst xmlns="http://schemas.openxmlformats.org/spreadsheetml/2006/main" count="190" uniqueCount="60">
  <si>
    <t>ชื่อ-สกุล</t>
  </si>
  <si>
    <t>วันเดือนปีเกิด</t>
  </si>
  <si>
    <t>วันบรรจุแต่งตั้ง</t>
  </si>
  <si>
    <t>อายุราชการ</t>
  </si>
  <si>
    <t>ปี</t>
  </si>
  <si>
    <t>เดือน</t>
  </si>
  <si>
    <t>วัน</t>
  </si>
  <si>
    <t>ฐานในการคำนวณและช่วงเงินเดือน</t>
  </si>
  <si>
    <t>ครูผู้ช่วย</t>
  </si>
  <si>
    <t>อันดับ</t>
  </si>
  <si>
    <t>เงินเดือนขั้นสูง</t>
  </si>
  <si>
    <t>ช่วงเงินเดือน</t>
  </si>
  <si>
    <t>ฐานคำนวณ</t>
  </si>
  <si>
    <t>คศ.1</t>
  </si>
  <si>
    <t>ปรับปรุง</t>
  </si>
  <si>
    <t>ช่วงล่วง</t>
  </si>
  <si>
    <t>ช่วงบน</t>
  </si>
  <si>
    <t>คศ.2</t>
  </si>
  <si>
    <t>พอใช้</t>
  </si>
  <si>
    <t>คศ.5</t>
  </si>
  <si>
    <t>คศ.3</t>
  </si>
  <si>
    <t>ดี</t>
  </si>
  <si>
    <t>คศ.4</t>
  </si>
  <si>
    <t>ดีมาก</t>
  </si>
  <si>
    <t>ดีเด่น</t>
  </si>
  <si>
    <t>Yes</t>
  </si>
  <si>
    <t>No</t>
  </si>
  <si>
    <t>ตำแหน่ง</t>
  </si>
  <si>
    <t>ครู</t>
  </si>
  <si>
    <t>อันดับคศ.</t>
  </si>
  <si>
    <t>ฐานคำนวน</t>
  </si>
  <si>
    <t>% ที่ได้เลื่อน</t>
  </si>
  <si>
    <t>เงินที่ได้เลื่อน</t>
  </si>
  <si>
    <t>เงินวิทยฐานะ</t>
  </si>
  <si>
    <t>ระยะเวลารับราชการ</t>
  </si>
  <si>
    <t>การเลื่อนเงินเดือน</t>
  </si>
  <si>
    <t>อายุราชการถึงวันเกษียณ</t>
  </si>
  <si>
    <t>อายุราชการถึงปัจจุบัน</t>
  </si>
  <si>
    <t>ค่าตอบแทนพิเศษ</t>
  </si>
  <si>
    <t>วันเกษียณอายุราชการ</t>
  </si>
  <si>
    <t>เงินเดือนปัจจุบัน</t>
  </si>
  <si>
    <t>เลื่อนเงินเดือนล่าสุด</t>
  </si>
  <si>
    <t>ตำแหน่งปัจจุบัน</t>
  </si>
  <si>
    <t>อันดับคศ.ปัจจุบัน</t>
  </si>
  <si>
    <t>เต็มขั้น</t>
  </si>
  <si>
    <t>คศ.จริง</t>
  </si>
  <si>
    <t>แปลงคศ.</t>
  </si>
  <si>
    <t>เงินเดือนใหม่</t>
  </si>
  <si>
    <t>เงินเดือนเต็มขั้น</t>
  </si>
  <si>
    <t>รวมรับ</t>
  </si>
  <si>
    <t>เงินเดือนก่อนเลื่อน</t>
  </si>
  <si>
    <t>หมายเหตุ</t>
  </si>
  <si>
    <t>วิธีใช้งาน</t>
  </si>
  <si>
    <t>ให้กรอกเป็น 16/12/1983</t>
  </si>
  <si>
    <t>2. % เซ็นต์ที่ได้เลื่อนหากรู้ว่าได้เลื่อนกี่ % ก็ให้กรอกตามจริง พิมพ์เลขลงไปอย่างเดียว ไม่ต้องใส่ % ต่อท้าย</t>
  </si>
  <si>
    <t>1. กรอกข้อมูลลงในช่องสีขาวเท่านั้น กรณี วันเดือนปี ให้กรอกเป็นรูปแบบ คริสต์ศักราช เช่น 16 ธันวาคม 2526</t>
  </si>
  <si>
    <t>หากอยากคำนวณในอนาคตก็ให้กรอกโดยคิดเอาเองว่าท่านจะได้ประมาณ  %</t>
  </si>
  <si>
    <t>ครูคือผู้สร้างจริงหรือ หรือ สร้างแต่หนี้</t>
  </si>
  <si>
    <t>จัดทำโดย...นภาดล   วิภาวิน   ข้าราชการบำนาญ อดีตครูโรงเรียนภูดินแดงวิทยา อดีต ผอ.โรงเรียนธาตุทองอำนวยวิทย์</t>
  </si>
  <si>
    <t>ครูประถม ดอทคอม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</si>
</sst>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_-;\-* #,##0_-;_-* &quot;-&quot;??_-;_-@_-"/>
    <numFmt numFmtId="167" formatCode="[$-107041E]d\ mmmm\ yyyy;@"/>
    <numFmt numFmtId="168" formatCode=";;;"/>
    <numFmt numFmtId="169" formatCode="_(* #,##0.00000_);_(* \(#,##0.00000\);_(* &quot;-&quot;??_);_(@_)"/>
    <numFmt numFmtId="170" formatCode="0.00_)"/>
    <numFmt numFmtId="171" formatCode="#,##0_ ;\-#,##0\ "/>
  </numFmts>
  <fonts count="86">
    <font>
      <sz val="11"/>
      <color indexed="8"/>
      <name val="Tahoma"/>
      <family val="2"/>
      <charset val="222"/>
    </font>
    <font>
      <sz val="11"/>
      <color theme="1"/>
      <name val="Calibri"/>
      <family val="2"/>
      <charset val="222"/>
      <scheme val="minor"/>
    </font>
    <font>
      <sz val="11"/>
      <color indexed="8"/>
      <name val="Tahoma"/>
      <family val="2"/>
      <charset val="222"/>
    </font>
    <font>
      <sz val="11"/>
      <color indexed="8"/>
      <name val="Tahoma"/>
      <family val="2"/>
    </font>
    <font>
      <sz val="11"/>
      <color indexed="8"/>
      <name val="Arial"/>
      <family val="2"/>
    </font>
    <font>
      <sz val="11"/>
      <color indexed="9"/>
      <name val="Tahoma"/>
      <family val="2"/>
      <charset val="222"/>
    </font>
    <font>
      <sz val="11"/>
      <color indexed="9"/>
      <name val="Tahoma"/>
      <family val="2"/>
    </font>
    <font>
      <sz val="11"/>
      <color indexed="9"/>
      <name val="Arial"/>
      <family val="2"/>
    </font>
    <font>
      <sz val="11"/>
      <color indexed="20"/>
      <name val="Tahoma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0"/>
      <name val="Times New Roman"/>
      <family val="1"/>
    </font>
    <font>
      <sz val="14"/>
      <name val="AngsanaUPC"/>
      <family val="1"/>
      <charset val="222"/>
    </font>
    <font>
      <sz val="14"/>
      <name val="Cordia New"/>
      <family val="2"/>
    </font>
    <font>
      <sz val="14"/>
      <name val="Cordia New"/>
      <family val="2"/>
    </font>
    <font>
      <sz val="12"/>
      <name val="Arial"/>
      <family val="2"/>
    </font>
    <font>
      <i/>
      <sz val="11"/>
      <color indexed="23"/>
      <name val="Tahoma"/>
      <family val="2"/>
      <charset val="222"/>
    </font>
    <font>
      <sz val="11"/>
      <color indexed="17"/>
      <name val="Tahoma"/>
      <family val="2"/>
      <charset val="222"/>
    </font>
    <font>
      <sz val="8"/>
      <name val="Arial"/>
      <family val="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b/>
      <sz val="18"/>
      <name val="Arial"/>
      <family val="2"/>
    </font>
    <font>
      <b/>
      <sz val="12"/>
      <name val="Arial"/>
      <family val="2"/>
    </font>
    <font>
      <sz val="11"/>
      <color indexed="62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Tahoma"/>
      <family val="2"/>
      <charset val="22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</font>
    <font>
      <sz val="10"/>
      <name val="MS Sans Serif"/>
    </font>
    <font>
      <sz val="15"/>
      <name val="Cordia New"/>
      <family val="2"/>
    </font>
    <font>
      <b/>
      <sz val="11"/>
      <color indexed="63"/>
      <name val="Tahoma"/>
      <family val="2"/>
      <charset val="222"/>
    </font>
    <font>
      <sz val="10"/>
      <name val="Arial"/>
      <family val="2"/>
    </font>
    <font>
      <sz val="10"/>
      <name val="Arial"/>
      <family val="2"/>
    </font>
    <font>
      <b/>
      <sz val="18"/>
      <color indexed="56"/>
      <name val="Tahoma"/>
      <family val="2"/>
      <charset val="222"/>
    </font>
    <font>
      <b/>
      <sz val="11"/>
      <color indexed="8"/>
      <name val="Tahoma"/>
      <family val="2"/>
      <charset val="222"/>
    </font>
    <font>
      <sz val="22"/>
      <name val="AngsanaUPC"/>
      <family val="1"/>
    </font>
    <font>
      <sz val="11"/>
      <color indexed="10"/>
      <name val="Tahoma"/>
      <family val="2"/>
      <charset val="222"/>
    </font>
    <font>
      <b/>
      <sz val="11"/>
      <color indexed="52"/>
      <name val="Tahoma"/>
      <family val="2"/>
    </font>
    <font>
      <sz val="11"/>
      <color indexed="10"/>
      <name val="Tahoma"/>
      <family val="2"/>
    </font>
    <font>
      <i/>
      <sz val="11"/>
      <color indexed="23"/>
      <name val="Tahoma"/>
      <family val="2"/>
    </font>
    <font>
      <sz val="14"/>
      <name val="CordiaUPC"/>
      <family val="2"/>
      <charset val="222"/>
    </font>
    <font>
      <b/>
      <sz val="18"/>
      <color indexed="56"/>
      <name val="Tahoma"/>
      <family val="2"/>
    </font>
    <font>
      <b/>
      <sz val="11"/>
      <color indexed="9"/>
      <name val="Tahoma"/>
      <family val="2"/>
    </font>
    <font>
      <sz val="11"/>
      <color indexed="52"/>
      <name val="Tahoma"/>
      <family val="2"/>
    </font>
    <font>
      <sz val="11"/>
      <color indexed="17"/>
      <name val="Tahoma"/>
      <family val="2"/>
    </font>
    <font>
      <sz val="15"/>
      <name val="Cordia New"/>
      <family val="2"/>
    </font>
    <font>
      <sz val="11"/>
      <color indexed="62"/>
      <name val="Tahoma"/>
      <family val="2"/>
    </font>
    <font>
      <sz val="11"/>
      <color indexed="60"/>
      <name val="Tahoma"/>
      <family val="2"/>
    </font>
    <font>
      <b/>
      <sz val="11"/>
      <color indexed="8"/>
      <name val="Tahoma"/>
      <family val="2"/>
    </font>
    <font>
      <sz val="11"/>
      <color indexed="20"/>
      <name val="Tahoma"/>
      <family val="2"/>
    </font>
    <font>
      <b/>
      <sz val="11"/>
      <color indexed="63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sz val="11"/>
      <color indexed="17"/>
      <name val="Arial"/>
      <family val="2"/>
    </font>
    <font>
      <sz val="11"/>
      <color indexed="60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b/>
      <sz val="11"/>
      <color indexed="9"/>
      <name val="Arial"/>
      <family val="2"/>
    </font>
    <font>
      <b/>
      <sz val="11"/>
      <color indexed="8"/>
      <name val="Arial"/>
      <family val="2"/>
    </font>
    <font>
      <i/>
      <sz val="11"/>
      <color indexed="23"/>
      <name val="Arial"/>
      <family val="2"/>
    </font>
    <font>
      <sz val="11"/>
      <color indexed="10"/>
      <name val="Arial"/>
      <family val="2"/>
    </font>
    <font>
      <b/>
      <sz val="11"/>
      <color indexed="52"/>
      <name val="Arial"/>
      <family val="2"/>
    </font>
    <font>
      <sz val="11"/>
      <color indexed="62"/>
      <name val="Arial"/>
      <family val="2"/>
    </font>
    <font>
      <b/>
      <sz val="11"/>
      <color indexed="63"/>
      <name val="Arial"/>
      <family val="2"/>
    </font>
    <font>
      <sz val="11"/>
      <color indexed="52"/>
      <name val="Arial"/>
      <family val="2"/>
    </font>
    <font>
      <sz val="14"/>
      <color theme="0"/>
      <name val="Browallia New"/>
      <family val="2"/>
    </font>
    <font>
      <sz val="14"/>
      <color rgb="FF002060"/>
      <name val="Browallia New"/>
      <family val="2"/>
    </font>
    <font>
      <sz val="10"/>
      <name val="Microsoft Sans Serif"/>
      <family val="2"/>
    </font>
    <font>
      <sz val="10"/>
      <name val="Calibri"/>
      <family val="2"/>
      <charset val="222"/>
      <scheme val="minor"/>
    </font>
    <font>
      <sz val="10"/>
      <name val="MS Sans Serif"/>
      <family val="2"/>
      <charset val="222"/>
    </font>
    <font>
      <b/>
      <sz val="10"/>
      <name val="Microsoft Sans Serif"/>
      <family val="2"/>
    </font>
    <font>
      <sz val="14"/>
      <color theme="4" tint="-0.499984740745262"/>
      <name val="Browallia New"/>
      <family val="2"/>
    </font>
    <font>
      <sz val="8"/>
      <name val="Tahoma"/>
      <family val="2"/>
      <charset val="222"/>
    </font>
    <font>
      <sz val="14"/>
      <color rgb="FFFF0000"/>
      <name val="Browallia New"/>
      <family val="2"/>
    </font>
    <font>
      <sz val="14"/>
      <color theme="1"/>
      <name val="Browallia New"/>
      <family val="2"/>
    </font>
    <font>
      <sz val="14"/>
      <color rgb="FF7030A0"/>
      <name val="Browallia New"/>
      <family val="2"/>
    </font>
    <font>
      <sz val="16"/>
      <color rgb="FFFFFF00"/>
      <name val="Tahoma"/>
      <family val="2"/>
      <charset val="222"/>
    </font>
    <font>
      <sz val="16"/>
      <color rgb="FFFFFF00"/>
      <name val="Browallia New"/>
      <family val="2"/>
      <charset val="222"/>
    </font>
    <font>
      <sz val="14"/>
      <color rgb="FFFFFF00"/>
      <name val="Browallia New"/>
      <family val="2"/>
      <charset val="222"/>
    </font>
    <font>
      <b/>
      <sz val="20"/>
      <color rgb="FF002060"/>
      <name val="Browallia New"/>
      <family val="2"/>
    </font>
    <font>
      <sz val="14"/>
      <color theme="0" tint="-0.34998626667073579"/>
      <name val="Browallia New"/>
      <family val="2"/>
      <charset val="222"/>
    </font>
  </fonts>
  <fills count="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29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404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theme="5" tint="0.59996337778862885"/>
      </left>
      <right style="thin">
        <color theme="5" tint="0.59996337778862885"/>
      </right>
      <top/>
      <bottom/>
      <diagonal/>
    </border>
    <border>
      <left style="thin">
        <color theme="9" tint="0.59996337778862885"/>
      </left>
      <right/>
      <top style="thin">
        <color theme="9" tint="0.59996337778862885"/>
      </top>
      <bottom/>
      <diagonal/>
    </border>
    <border>
      <left/>
      <right/>
      <top style="thin">
        <color theme="9" tint="0.59996337778862885"/>
      </top>
      <bottom/>
      <diagonal/>
    </border>
    <border>
      <left/>
      <right style="thin">
        <color theme="9" tint="0.59996337778862885"/>
      </right>
      <top style="thin">
        <color theme="9" tint="0.59996337778862885"/>
      </top>
      <bottom/>
      <diagonal/>
    </border>
    <border>
      <left style="thin">
        <color theme="9" tint="0.59996337778862885"/>
      </left>
      <right/>
      <top/>
      <bottom/>
      <diagonal/>
    </border>
    <border>
      <left/>
      <right style="thin">
        <color theme="9" tint="0.59996337778862885"/>
      </right>
      <top/>
      <bottom/>
      <diagonal/>
    </border>
    <border>
      <left style="thin">
        <color theme="9" tint="0.59996337778862885"/>
      </left>
      <right/>
      <top/>
      <bottom style="thin">
        <color theme="9" tint="0.59996337778862885"/>
      </bottom>
      <diagonal/>
    </border>
    <border>
      <left/>
      <right/>
      <top/>
      <bottom style="thin">
        <color theme="9" tint="0.59996337778862885"/>
      </bottom>
      <diagonal/>
    </border>
    <border>
      <left/>
      <right style="thin">
        <color theme="9" tint="0.59996337778862885"/>
      </right>
      <top/>
      <bottom style="thin">
        <color theme="9" tint="0.59996337778862885"/>
      </bottom>
      <diagonal/>
    </border>
    <border>
      <left style="medium">
        <color theme="5" tint="0.59996337778862885"/>
      </left>
      <right/>
      <top style="medium">
        <color theme="5" tint="0.59996337778862885"/>
      </top>
      <bottom/>
      <diagonal/>
    </border>
    <border>
      <left/>
      <right/>
      <top style="medium">
        <color theme="5" tint="0.59996337778862885"/>
      </top>
      <bottom/>
      <diagonal/>
    </border>
    <border>
      <left style="medium">
        <color theme="5" tint="0.59996337778862885"/>
      </left>
      <right style="thin">
        <color theme="5" tint="0.59996337778862885"/>
      </right>
      <top/>
      <bottom/>
      <diagonal/>
    </border>
    <border>
      <left style="thin">
        <color theme="5" tint="0.59996337778862885"/>
      </left>
      <right style="medium">
        <color theme="5" tint="0.59996337778862885"/>
      </right>
      <top/>
      <bottom/>
      <diagonal/>
    </border>
    <border>
      <left style="medium">
        <color theme="5" tint="0.59996337778862885"/>
      </left>
      <right style="thin">
        <color theme="5" tint="0.59996337778862885"/>
      </right>
      <top/>
      <bottom style="medium">
        <color theme="5" tint="0.59996337778862885"/>
      </bottom>
      <diagonal/>
    </border>
    <border>
      <left style="thin">
        <color theme="5" tint="0.59996337778862885"/>
      </left>
      <right style="thin">
        <color theme="5" tint="0.59996337778862885"/>
      </right>
      <top/>
      <bottom style="medium">
        <color theme="5" tint="0.59996337778862885"/>
      </bottom>
      <diagonal/>
    </border>
    <border>
      <left style="thin">
        <color theme="5" tint="0.59996337778862885"/>
      </left>
      <right style="medium">
        <color theme="5" tint="0.59996337778862885"/>
      </right>
      <top/>
      <bottom style="medium">
        <color theme="5" tint="0.59996337778862885"/>
      </bottom>
      <diagonal/>
    </border>
    <border>
      <left style="thin">
        <color theme="5" tint="0.59996337778862885"/>
      </left>
      <right/>
      <top/>
      <bottom/>
      <diagonal/>
    </border>
    <border>
      <left style="thin">
        <color theme="5" tint="0.59996337778862885"/>
      </left>
      <right/>
      <top/>
      <bottom style="medium">
        <color theme="5" tint="0.59996337778862885"/>
      </bottom>
      <diagonal/>
    </border>
    <border>
      <left style="thin">
        <color theme="5" tint="0.59996337778862885"/>
      </left>
      <right style="medium">
        <color theme="5" tint="0.59996337778862885"/>
      </right>
      <top style="medium">
        <color theme="5" tint="0.59996337778862885"/>
      </top>
      <bottom/>
      <diagonal/>
    </border>
  </borders>
  <cellStyleXfs count="741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2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4" fillId="2" borderId="0" applyNumberFormat="0" applyBorder="0" applyAlignment="0" applyProtection="0"/>
    <xf numFmtId="0" fontId="4" fillId="10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3" borderId="0" applyNumberFormat="0" applyBorder="0" applyAlignment="0" applyProtection="0"/>
    <xf numFmtId="0" fontId="4" fillId="5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6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6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6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6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6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6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6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7" fillId="11" borderId="0" applyNumberFormat="0" applyBorder="0" applyAlignment="0" applyProtection="0"/>
    <xf numFmtId="0" fontId="7" fillId="10" borderId="0" applyNumberFormat="0" applyBorder="0" applyAlignment="0" applyProtection="0"/>
    <xf numFmtId="0" fontId="7" fillId="6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7" fillId="5" borderId="0" applyNumberFormat="0" applyBorder="0" applyAlignment="0" applyProtection="0"/>
    <xf numFmtId="0" fontId="11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3" fillId="0" borderId="0"/>
    <xf numFmtId="168" fontId="14" fillId="0" borderId="0"/>
    <xf numFmtId="0" fontId="15" fillId="0" borderId="0" applyProtection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3" fillId="0" borderId="0"/>
    <xf numFmtId="169" fontId="14" fillId="0" borderId="0"/>
    <xf numFmtId="2" fontId="15" fillId="0" borderId="0" applyProtection="0"/>
    <xf numFmtId="38" fontId="18" fillId="25" borderId="0" applyNumberFormat="0" applyBorder="0" applyAlignment="0" applyProtection="0"/>
    <xf numFmtId="0" fontId="22" fillId="0" borderId="0" applyProtection="0"/>
    <xf numFmtId="0" fontId="23" fillId="0" borderId="0" applyProtection="0"/>
    <xf numFmtId="10" fontId="18" fillId="26" borderId="6" applyNumberFormat="0" applyBorder="0" applyAlignment="0" applyProtection="0"/>
    <xf numFmtId="0" fontId="24" fillId="5" borderId="1" applyNumberFormat="0" applyAlignment="0" applyProtection="0"/>
    <xf numFmtId="37" fontId="27" fillId="0" borderId="0"/>
    <xf numFmtId="170" fontId="28" fillId="0" borderId="0"/>
    <xf numFmtId="0" fontId="29" fillId="0" borderId="0"/>
    <xf numFmtId="0" fontId="2" fillId="0" borderId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2" fillId="9" borderId="8" applyNumberFormat="0" applyFont="0" applyAlignment="0" applyProtection="0"/>
    <xf numFmtId="10" fontId="33" fillId="0" borderId="0" applyFont="0" applyFill="0" applyBorder="0" applyAlignment="0" applyProtection="0"/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4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4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4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4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0" fontId="33" fillId="0" borderId="0">
      <alignment vertical="justify"/>
    </xf>
    <xf numFmtId="1" fontId="33" fillId="0" borderId="10" applyNumberFormat="0" applyFill="0" applyAlignment="0" applyProtection="0">
      <alignment horizontal="center" vertical="center"/>
    </xf>
    <xf numFmtId="0" fontId="11" fillId="0" borderId="11" applyAlignment="0">
      <alignment horizontal="centerContinuous"/>
    </xf>
    <xf numFmtId="0" fontId="37" fillId="0" borderId="13"/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4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4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4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4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33" fillId="0" borderId="0">
      <alignment horizontal="centerContinuous" vertical="center"/>
    </xf>
    <xf numFmtId="0" fontId="9" fillId="13" borderId="1" applyNumberFormat="0" applyAlignment="0" applyProtection="0"/>
    <xf numFmtId="0" fontId="9" fillId="13" borderId="1" applyNumberFormat="0" applyAlignment="0" applyProtection="0"/>
    <xf numFmtId="0" fontId="9" fillId="13" borderId="1" applyNumberFormat="0" applyAlignment="0" applyProtection="0"/>
    <xf numFmtId="0" fontId="9" fillId="13" borderId="1" applyNumberFormat="0" applyAlignment="0" applyProtection="0"/>
    <xf numFmtId="0" fontId="9" fillId="13" borderId="1" applyNumberFormat="0" applyAlignment="0" applyProtection="0"/>
    <xf numFmtId="0" fontId="39" fillId="13" borderId="1" applyNumberFormat="0" applyAlignment="0" applyProtection="0"/>
    <xf numFmtId="0" fontId="9" fillId="13" borderId="1" applyNumberFormat="0" applyAlignment="0" applyProtection="0"/>
    <xf numFmtId="0" fontId="9" fillId="13" borderId="1" applyNumberFormat="0" applyAlignment="0" applyProtection="0"/>
    <xf numFmtId="0" fontId="9" fillId="13" borderId="1" applyNumberFormat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0" fontId="33" fillId="0" borderId="0" applyFont="0" applyFill="0" applyBorder="0" applyAlignment="0" applyProtection="0"/>
    <xf numFmtId="9" fontId="42" fillId="0" borderId="0" applyNumberFormat="0" applyFon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0" fillId="24" borderId="2" applyNumberFormat="0" applyAlignment="0" applyProtection="0"/>
    <xf numFmtId="0" fontId="10" fillId="24" borderId="2" applyNumberFormat="0" applyAlignment="0" applyProtection="0"/>
    <xf numFmtId="0" fontId="10" fillId="24" borderId="2" applyNumberFormat="0" applyAlignment="0" applyProtection="0"/>
    <xf numFmtId="0" fontId="10" fillId="24" borderId="2" applyNumberFormat="0" applyAlignment="0" applyProtection="0"/>
    <xf numFmtId="0" fontId="10" fillId="24" borderId="2" applyNumberFormat="0" applyAlignment="0" applyProtection="0"/>
    <xf numFmtId="0" fontId="44" fillId="24" borderId="2" applyNumberFormat="0" applyAlignment="0" applyProtection="0"/>
    <xf numFmtId="0" fontId="10" fillId="24" borderId="2" applyNumberFormat="0" applyAlignment="0" applyProtection="0"/>
    <xf numFmtId="0" fontId="10" fillId="24" borderId="2" applyNumberFormat="0" applyAlignment="0" applyProtection="0"/>
    <xf numFmtId="0" fontId="10" fillId="24" borderId="2" applyNumberFormat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4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25" fillId="0" borderId="7" applyNumberFormat="0" applyFill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46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2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7" fillId="0" borderId="0"/>
    <xf numFmtId="0" fontId="3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1" fillId="0" borderId="0"/>
    <xf numFmtId="0" fontId="24" fillId="5" borderId="1" applyNumberFormat="0" applyAlignment="0" applyProtection="0"/>
    <xf numFmtId="0" fontId="24" fillId="5" borderId="1" applyNumberFormat="0" applyAlignment="0" applyProtection="0"/>
    <xf numFmtId="0" fontId="24" fillId="5" borderId="1" applyNumberFormat="0" applyAlignment="0" applyProtection="0"/>
    <xf numFmtId="0" fontId="24" fillId="5" borderId="1" applyNumberFormat="0" applyAlignment="0" applyProtection="0"/>
    <xf numFmtId="0" fontId="24" fillId="5" borderId="1" applyNumberFormat="0" applyAlignment="0" applyProtection="0"/>
    <xf numFmtId="0" fontId="48" fillId="5" borderId="1" applyNumberFormat="0" applyAlignment="0" applyProtection="0"/>
    <xf numFmtId="0" fontId="24" fillId="5" borderId="1" applyNumberFormat="0" applyAlignment="0" applyProtection="0"/>
    <xf numFmtId="0" fontId="24" fillId="5" borderId="1" applyNumberFormat="0" applyAlignment="0" applyProtection="0"/>
    <xf numFmtId="0" fontId="24" fillId="5" borderId="1" applyNumberFormat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49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26" fillId="14" borderId="0" applyNumberFormat="0" applyBorder="0" applyAlignment="0" applyProtection="0"/>
    <xf numFmtId="0" fontId="36" fillId="0" borderId="12" applyNumberFormat="0" applyFill="0" applyAlignment="0" applyProtection="0"/>
    <xf numFmtId="0" fontId="36" fillId="0" borderId="12" applyNumberFormat="0" applyFill="0" applyAlignment="0" applyProtection="0"/>
    <xf numFmtId="0" fontId="36" fillId="0" borderId="12" applyNumberFormat="0" applyFill="0" applyAlignment="0" applyProtection="0"/>
    <xf numFmtId="0" fontId="36" fillId="0" borderId="12" applyNumberFormat="0" applyFill="0" applyAlignment="0" applyProtection="0"/>
    <xf numFmtId="0" fontId="36" fillId="0" borderId="12" applyNumberFormat="0" applyFill="0" applyAlignment="0" applyProtection="0"/>
    <xf numFmtId="0" fontId="50" fillId="0" borderId="12" applyNumberFormat="0" applyFill="0" applyAlignment="0" applyProtection="0"/>
    <xf numFmtId="0" fontId="36" fillId="0" borderId="12" applyNumberFormat="0" applyFill="0" applyAlignment="0" applyProtection="0"/>
    <xf numFmtId="0" fontId="36" fillId="0" borderId="12" applyNumberFormat="0" applyFill="0" applyAlignment="0" applyProtection="0"/>
    <xf numFmtId="0" fontId="36" fillId="0" borderId="12" applyNumberFormat="0" applyFill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1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6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6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6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6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6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6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32" fillId="13" borderId="9" applyNumberFormat="0" applyAlignment="0" applyProtection="0"/>
    <xf numFmtId="0" fontId="32" fillId="13" borderId="9" applyNumberFormat="0" applyAlignment="0" applyProtection="0"/>
    <xf numFmtId="0" fontId="32" fillId="13" borderId="9" applyNumberFormat="0" applyAlignment="0" applyProtection="0"/>
    <xf numFmtId="0" fontId="32" fillId="13" borderId="9" applyNumberFormat="0" applyAlignment="0" applyProtection="0"/>
    <xf numFmtId="0" fontId="32" fillId="13" borderId="9" applyNumberFormat="0" applyAlignment="0" applyProtection="0"/>
    <xf numFmtId="0" fontId="52" fillId="13" borderId="9" applyNumberFormat="0" applyAlignment="0" applyProtection="0"/>
    <xf numFmtId="0" fontId="32" fillId="13" borderId="9" applyNumberFormat="0" applyAlignment="0" applyProtection="0"/>
    <xf numFmtId="0" fontId="32" fillId="13" borderId="9" applyNumberFormat="0" applyAlignment="0" applyProtection="0"/>
    <xf numFmtId="0" fontId="32" fillId="13" borderId="9" applyNumberFormat="0" applyAlignment="0" applyProtection="0"/>
    <xf numFmtId="0" fontId="2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31" fillId="9" borderId="8" applyNumberFormat="0" applyFont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53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54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55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6" fillId="6" borderId="0" applyNumberFormat="0" applyBorder="0" applyAlignment="0" applyProtection="0"/>
    <xf numFmtId="0" fontId="57" fillId="10" borderId="0" applyNumberFormat="0" applyBorder="0" applyAlignment="0" applyProtection="0"/>
    <xf numFmtId="0" fontId="7" fillId="18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7" borderId="0" applyNumberFormat="0" applyBorder="0" applyAlignment="0" applyProtection="0"/>
    <xf numFmtId="0" fontId="7" fillId="18" borderId="0" applyNumberFormat="0" applyBorder="0" applyAlignment="0" applyProtection="0"/>
    <xf numFmtId="0" fontId="7" fillId="23" borderId="0" applyNumberFormat="0" applyBorder="0" applyAlignment="0" applyProtection="0"/>
    <xf numFmtId="0" fontId="58" fillId="0" borderId="0" applyNumberFormat="0" applyFill="0" applyBorder="0" applyAlignment="0" applyProtection="0"/>
    <xf numFmtId="0" fontId="59" fillId="0" borderId="14" applyNumberFormat="0" applyFill="0" applyAlignment="0" applyProtection="0"/>
    <xf numFmtId="0" fontId="60" fillId="0" borderId="15" applyNumberFormat="0" applyFill="0" applyAlignment="0" applyProtection="0"/>
    <xf numFmtId="0" fontId="61" fillId="0" borderId="16" applyNumberFormat="0" applyFill="0" applyAlignment="0" applyProtection="0"/>
    <xf numFmtId="0" fontId="61" fillId="0" borderId="0" applyNumberFormat="0" applyFill="0" applyBorder="0" applyAlignment="0" applyProtection="0"/>
    <xf numFmtId="0" fontId="62" fillId="24" borderId="2" applyNumberFormat="0" applyAlignment="0" applyProtection="0"/>
    <xf numFmtId="0" fontId="63" fillId="0" borderId="17" applyNumberFormat="0" applyFill="0" applyAlignment="0" applyProtection="0"/>
    <xf numFmtId="0" fontId="4" fillId="9" borderId="8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7" borderId="1" applyNumberFormat="0" applyAlignment="0" applyProtection="0"/>
    <xf numFmtId="0" fontId="67" fillId="5" borderId="1" applyNumberFormat="0" applyAlignment="0" applyProtection="0"/>
    <xf numFmtId="0" fontId="68" fillId="7" borderId="9" applyNumberFormat="0" applyAlignment="0" applyProtection="0"/>
    <xf numFmtId="0" fontId="57" fillId="14" borderId="0" applyNumberFormat="0" applyBorder="0" applyAlignment="0" applyProtection="0"/>
    <xf numFmtId="0" fontId="69" fillId="0" borderId="7" applyNumberFormat="0" applyFill="0" applyAlignment="0" applyProtection="0"/>
    <xf numFmtId="0" fontId="33" fillId="0" borderId="0"/>
    <xf numFmtId="0" fontId="1" fillId="0" borderId="0"/>
    <xf numFmtId="165" fontId="1" fillId="0" borderId="0" applyFont="0" applyFill="0" applyBorder="0" applyAlignment="0" applyProtection="0"/>
    <xf numFmtId="43" fontId="33" fillId="0" borderId="0" applyFont="0" applyFill="0" applyBorder="0" applyAlignment="0" applyProtection="0"/>
  </cellStyleXfs>
  <cellXfs count="86">
    <xf numFmtId="0" fontId="0" fillId="0" borderId="0" xfId="0"/>
    <xf numFmtId="22" fontId="84" fillId="31" borderId="0" xfId="0" applyNumberFormat="1" applyFont="1" applyFill="1" applyBorder="1" applyAlignment="1">
      <alignment horizontal="center" vertical="center"/>
    </xf>
    <xf numFmtId="171" fontId="76" fillId="30" borderId="23" xfId="739" applyNumberFormat="1" applyFont="1" applyFill="1" applyBorder="1" applyAlignment="1" applyProtection="1">
      <alignment horizontal="left" vertical="center" indent="1"/>
      <protection locked="0"/>
    </xf>
    <xf numFmtId="171" fontId="76" fillId="30" borderId="0" xfId="739" applyNumberFormat="1" applyFont="1" applyFill="1" applyBorder="1" applyAlignment="1" applyProtection="1">
      <alignment horizontal="left" vertical="center" indent="1"/>
      <protection locked="0"/>
    </xf>
    <xf numFmtId="167" fontId="71" fillId="30" borderId="23" xfId="0" applyNumberFormat="1" applyFont="1" applyFill="1" applyBorder="1" applyAlignment="1" applyProtection="1">
      <alignment horizontal="left" vertical="center" indent="1" shrinkToFit="1"/>
      <protection locked="0"/>
    </xf>
    <xf numFmtId="167" fontId="71" fillId="30" borderId="0" xfId="0" applyNumberFormat="1" applyFont="1" applyFill="1" applyBorder="1" applyAlignment="1" applyProtection="1">
      <alignment horizontal="left" vertical="center" indent="1" shrinkToFit="1"/>
      <protection locked="0"/>
    </xf>
    <xf numFmtId="22" fontId="76" fillId="30" borderId="23" xfId="0" applyNumberFormat="1" applyFont="1" applyFill="1" applyBorder="1" applyAlignment="1" applyProtection="1">
      <alignment horizontal="left" vertical="center" indent="1"/>
      <protection locked="0"/>
    </xf>
    <xf numFmtId="22" fontId="84" fillId="31" borderId="23" xfId="0" applyNumberFormat="1" applyFont="1" applyFill="1" applyBorder="1" applyAlignment="1">
      <alignment horizontal="center" vertical="center"/>
    </xf>
    <xf numFmtId="0" fontId="76" fillId="30" borderId="20" xfId="0" applyFont="1" applyFill="1" applyBorder="1" applyAlignment="1" applyProtection="1">
      <alignment horizontal="left" vertical="center" indent="1"/>
      <protection locked="0"/>
    </xf>
    <xf numFmtId="0" fontId="85" fillId="29" borderId="26" xfId="0" applyFont="1" applyFill="1" applyBorder="1" applyAlignment="1">
      <alignment horizontal="center" vertical="center"/>
    </xf>
    <xf numFmtId="0" fontId="85" fillId="29" borderId="25" xfId="0" applyFont="1" applyFill="1" applyBorder="1" applyAlignment="1">
      <alignment horizontal="center" vertical="center"/>
    </xf>
    <xf numFmtId="0" fontId="85" fillId="29" borderId="24" xfId="0" applyFont="1" applyFill="1" applyBorder="1" applyAlignment="1">
      <alignment horizontal="center" vertical="center"/>
    </xf>
    <xf numFmtId="0" fontId="75" fillId="0" borderId="0" xfId="737" applyFont="1" applyAlignment="1" applyProtection="1">
      <alignment horizontal="center" shrinkToFit="1"/>
      <protection hidden="1"/>
    </xf>
    <xf numFmtId="0" fontId="75" fillId="0" borderId="0" xfId="737" applyFont="1" applyAlignment="1" applyProtection="1">
      <alignment horizontal="center" vertical="center" shrinkToFit="1"/>
      <protection hidden="1"/>
    </xf>
    <xf numFmtId="0" fontId="76" fillId="30" borderId="21" xfId="0" applyFont="1" applyFill="1" applyBorder="1" applyAlignment="1" applyProtection="1">
      <alignment horizontal="left" vertical="center" indent="1"/>
      <protection locked="0"/>
    </xf>
    <xf numFmtId="22" fontId="76" fillId="30" borderId="0" xfId="0" applyNumberFormat="1" applyFont="1" applyFill="1" applyBorder="1" applyAlignment="1" applyProtection="1">
      <alignment horizontal="left" vertical="center" indent="1"/>
      <protection locked="0"/>
    </xf>
    <xf numFmtId="0" fontId="72" fillId="0" borderId="0" xfId="737" applyFont="1" applyAlignment="1" applyProtection="1">
      <alignment horizontal="center"/>
      <protection hidden="1"/>
    </xf>
    <xf numFmtId="0" fontId="73" fillId="0" borderId="0" xfId="738" applyFont="1" applyProtection="1">
      <protection hidden="1"/>
    </xf>
    <xf numFmtId="0" fontId="73" fillId="0" borderId="0" xfId="738" applyFont="1" applyAlignment="1" applyProtection="1">
      <alignment horizontal="center"/>
      <protection hidden="1"/>
    </xf>
    <xf numFmtId="0" fontId="72" fillId="0" borderId="0" xfId="738" applyFont="1" applyAlignment="1" applyProtection="1">
      <alignment horizontal="center"/>
      <protection hidden="1"/>
    </xf>
    <xf numFmtId="0" fontId="72" fillId="0" borderId="0" xfId="738" applyFont="1" applyProtection="1">
      <protection hidden="1"/>
    </xf>
    <xf numFmtId="0" fontId="72" fillId="0" borderId="0" xfId="737" applyFont="1" applyProtection="1">
      <protection hidden="1"/>
    </xf>
    <xf numFmtId="0" fontId="74" fillId="0" borderId="0" xfId="737" applyFont="1" applyProtection="1">
      <protection hidden="1"/>
    </xf>
    <xf numFmtId="0" fontId="74" fillId="0" borderId="0" xfId="737" applyFont="1" applyAlignment="1" applyProtection="1">
      <alignment horizontal="center"/>
      <protection hidden="1"/>
    </xf>
    <xf numFmtId="0" fontId="75" fillId="0" borderId="0" xfId="737" applyFont="1" applyAlignment="1" applyProtection="1">
      <alignment horizontal="center" shrinkToFit="1"/>
      <protection hidden="1"/>
    </xf>
    <xf numFmtId="0" fontId="72" fillId="0" borderId="0" xfId="737" applyFont="1" applyAlignment="1" applyProtection="1">
      <alignment horizontal="center"/>
      <protection hidden="1"/>
    </xf>
    <xf numFmtId="3" fontId="72" fillId="0" borderId="0" xfId="737" applyNumberFormat="1" applyFont="1" applyAlignment="1" applyProtection="1">
      <alignment horizontal="center" vertical="center"/>
      <protection hidden="1"/>
    </xf>
    <xf numFmtId="3" fontId="75" fillId="0" borderId="0" xfId="737" applyNumberFormat="1" applyFont="1" applyAlignment="1" applyProtection="1">
      <alignment horizontal="center" vertical="center"/>
      <protection hidden="1"/>
    </xf>
    <xf numFmtId="9" fontId="73" fillId="0" borderId="0" xfId="738" applyNumberFormat="1" applyFont="1" applyProtection="1">
      <protection hidden="1"/>
    </xf>
    <xf numFmtId="0" fontId="73" fillId="0" borderId="0" xfId="738" applyFont="1" applyAlignment="1" applyProtection="1">
      <alignment horizontal="left"/>
      <protection hidden="1"/>
    </xf>
    <xf numFmtId="166" fontId="74" fillId="0" borderId="0" xfId="739" applyNumberFormat="1" applyFont="1" applyProtection="1">
      <protection hidden="1"/>
    </xf>
    <xf numFmtId="3" fontId="73" fillId="0" borderId="0" xfId="738" applyNumberFormat="1" applyFont="1" applyProtection="1">
      <protection hidden="1"/>
    </xf>
    <xf numFmtId="0" fontId="76" fillId="0" borderId="0" xfId="0" applyFont="1" applyBorder="1" applyAlignment="1">
      <alignment vertical="center"/>
    </xf>
    <xf numFmtId="0" fontId="76" fillId="0" borderId="0" xfId="0" applyFont="1" applyBorder="1" applyAlignment="1">
      <alignment horizontal="center" vertical="center"/>
    </xf>
    <xf numFmtId="166" fontId="76" fillId="0" borderId="0" xfId="739" applyNumberFormat="1" applyFont="1" applyBorder="1" applyAlignment="1">
      <alignment vertical="center"/>
    </xf>
    <xf numFmtId="0" fontId="76" fillId="0" borderId="0" xfId="0" applyFont="1" applyBorder="1" applyAlignment="1" applyProtection="1">
      <alignment vertical="center"/>
      <protection locked="0"/>
    </xf>
    <xf numFmtId="166" fontId="76" fillId="28" borderId="18" xfId="476" applyNumberFormat="1" applyFont="1" applyFill="1" applyBorder="1" applyAlignment="1">
      <alignment vertical="center"/>
    </xf>
    <xf numFmtId="166" fontId="76" fillId="28" borderId="18" xfId="0" applyNumberFormat="1" applyFont="1" applyFill="1" applyBorder="1" applyAlignment="1">
      <alignment vertical="center"/>
    </xf>
    <xf numFmtId="166" fontId="76" fillId="28" borderId="18" xfId="0" applyNumberFormat="1" applyFont="1" applyFill="1" applyBorder="1" applyAlignment="1" applyProtection="1">
      <alignment vertical="center"/>
    </xf>
    <xf numFmtId="15" fontId="76" fillId="30" borderId="18" xfId="0" applyNumberFormat="1" applyFont="1" applyFill="1" applyBorder="1" applyAlignment="1" applyProtection="1">
      <alignment horizontal="center" vertical="center"/>
      <protection locked="0"/>
    </xf>
    <xf numFmtId="0" fontId="76" fillId="30" borderId="18" xfId="0" applyFont="1" applyFill="1" applyBorder="1" applyAlignment="1" applyProtection="1">
      <alignment horizontal="center" vertical="center"/>
      <protection locked="0"/>
    </xf>
    <xf numFmtId="10" fontId="76" fillId="30" borderId="18" xfId="0" applyNumberFormat="1" applyFont="1" applyFill="1" applyBorder="1" applyAlignment="1" applyProtection="1">
      <alignment vertical="center"/>
      <protection locked="0"/>
    </xf>
    <xf numFmtId="0" fontId="70" fillId="29" borderId="27" xfId="0" applyFont="1" applyFill="1" applyBorder="1" applyAlignment="1">
      <alignment horizontal="center" vertical="center"/>
    </xf>
    <xf numFmtId="0" fontId="70" fillId="29" borderId="28" xfId="0" applyFont="1" applyFill="1" applyBorder="1" applyAlignment="1">
      <alignment horizontal="center" vertical="center"/>
    </xf>
    <xf numFmtId="15" fontId="76" fillId="30" borderId="32" xfId="0" applyNumberFormat="1" applyFont="1" applyFill="1" applyBorder="1" applyAlignment="1" applyProtection="1">
      <alignment horizontal="center" vertical="center"/>
      <protection locked="0"/>
    </xf>
    <xf numFmtId="0" fontId="76" fillId="30" borderId="32" xfId="0" applyFont="1" applyFill="1" applyBorder="1" applyAlignment="1" applyProtection="1">
      <alignment horizontal="center" vertical="center"/>
      <protection locked="0"/>
    </xf>
    <xf numFmtId="166" fontId="76" fillId="28" borderId="32" xfId="0" applyNumberFormat="1" applyFont="1" applyFill="1" applyBorder="1" applyAlignment="1" applyProtection="1">
      <alignment vertical="center"/>
    </xf>
    <xf numFmtId="166" fontId="76" fillId="28" borderId="32" xfId="476" applyNumberFormat="1" applyFont="1" applyFill="1" applyBorder="1" applyAlignment="1">
      <alignment vertical="center"/>
    </xf>
    <xf numFmtId="10" fontId="76" fillId="30" borderId="32" xfId="0" applyNumberFormat="1" applyFont="1" applyFill="1" applyBorder="1" applyAlignment="1" applyProtection="1">
      <alignment vertical="center"/>
      <protection locked="0"/>
    </xf>
    <xf numFmtId="166" fontId="76" fillId="28" borderId="32" xfId="0" applyNumberFormat="1" applyFont="1" applyFill="1" applyBorder="1" applyAlignment="1">
      <alignment vertical="center"/>
    </xf>
    <xf numFmtId="167" fontId="76" fillId="28" borderId="0" xfId="0" applyNumberFormat="1" applyFont="1" applyFill="1" applyBorder="1" applyAlignment="1" applyProtection="1">
      <alignment horizontal="left" vertical="center" indent="1" shrinkToFit="1"/>
    </xf>
    <xf numFmtId="167" fontId="76" fillId="28" borderId="25" xfId="0" applyNumberFormat="1" applyFont="1" applyFill="1" applyBorder="1" applyAlignment="1" applyProtection="1">
      <alignment horizontal="left" vertical="center" indent="1" shrinkToFit="1"/>
    </xf>
    <xf numFmtId="164" fontId="70" fillId="29" borderId="19" xfId="0" applyNumberFormat="1" applyFont="1" applyFill="1" applyBorder="1" applyAlignment="1">
      <alignment vertical="center"/>
    </xf>
    <xf numFmtId="164" fontId="70" fillId="29" borderId="0" xfId="0" applyNumberFormat="1" applyFont="1" applyFill="1" applyBorder="1" applyAlignment="1">
      <alignment vertical="center"/>
    </xf>
    <xf numFmtId="164" fontId="70" fillId="29" borderId="22" xfId="0" applyNumberFormat="1" applyFont="1" applyFill="1" applyBorder="1" applyAlignment="1">
      <alignment vertical="center"/>
    </xf>
    <xf numFmtId="164" fontId="70" fillId="29" borderId="24" xfId="0" applyNumberFormat="1" applyFont="1" applyFill="1" applyBorder="1" applyAlignment="1">
      <alignment vertical="center"/>
    </xf>
    <xf numFmtId="0" fontId="71" fillId="30" borderId="20" xfId="0" applyFont="1" applyFill="1" applyBorder="1" applyAlignment="1" applyProtection="1">
      <alignment horizontal="left" vertical="center" indent="1" shrinkToFit="1"/>
      <protection locked="0"/>
    </xf>
    <xf numFmtId="167" fontId="71" fillId="30" borderId="0" xfId="0" applyNumberFormat="1" applyFont="1" applyFill="1" applyBorder="1" applyAlignment="1" applyProtection="1">
      <alignment horizontal="left" vertical="center" indent="1" shrinkToFit="1"/>
      <protection locked="0"/>
    </xf>
    <xf numFmtId="0" fontId="76" fillId="28" borderId="29" xfId="0" applyFont="1" applyFill="1" applyBorder="1" applyAlignment="1">
      <alignment horizontal="center" vertical="center" shrinkToFit="1"/>
    </xf>
    <xf numFmtId="0" fontId="76" fillId="28" borderId="31" xfId="0" applyFont="1" applyFill="1" applyBorder="1" applyAlignment="1">
      <alignment horizontal="center" vertical="center" shrinkToFit="1"/>
    </xf>
    <xf numFmtId="167" fontId="76" fillId="28" borderId="18" xfId="0" applyNumberFormat="1" applyFont="1" applyFill="1" applyBorder="1" applyAlignment="1" applyProtection="1">
      <alignment vertical="center" shrinkToFit="1"/>
    </xf>
    <xf numFmtId="167" fontId="76" fillId="28" borderId="32" xfId="0" applyNumberFormat="1" applyFont="1" applyFill="1" applyBorder="1" applyAlignment="1" applyProtection="1">
      <alignment vertical="center" shrinkToFit="1"/>
    </xf>
    <xf numFmtId="164" fontId="70" fillId="29" borderId="20" xfId="0" applyNumberFormat="1" applyFont="1" applyFill="1" applyBorder="1" applyAlignment="1">
      <alignment vertical="center"/>
    </xf>
    <xf numFmtId="166" fontId="76" fillId="0" borderId="0" xfId="476" applyNumberFormat="1" applyFont="1" applyBorder="1" applyAlignment="1">
      <alignment vertical="center"/>
    </xf>
    <xf numFmtId="15" fontId="76" fillId="28" borderId="18" xfId="0" applyNumberFormat="1" applyFont="1" applyFill="1" applyBorder="1" applyAlignment="1" applyProtection="1">
      <alignment horizontal="center" vertical="center"/>
    </xf>
    <xf numFmtId="0" fontId="78" fillId="0" borderId="0" xfId="0" applyFont="1" applyBorder="1" applyAlignment="1">
      <alignment vertical="center"/>
    </xf>
    <xf numFmtId="0" fontId="78" fillId="0" borderId="0" xfId="0" applyFont="1" applyBorder="1" applyAlignment="1">
      <alignment horizontal="center" vertical="center"/>
    </xf>
    <xf numFmtId="166" fontId="79" fillId="0" borderId="0" xfId="476" applyNumberFormat="1" applyFont="1" applyBorder="1" applyAlignment="1">
      <alignment vertical="center"/>
    </xf>
    <xf numFmtId="166" fontId="76" fillId="0" borderId="0" xfId="0" applyNumberFormat="1" applyFont="1" applyBorder="1" applyAlignment="1">
      <alignment vertical="center"/>
    </xf>
    <xf numFmtId="0" fontId="70" fillId="29" borderId="28" xfId="0" applyFont="1" applyFill="1" applyBorder="1" applyAlignment="1">
      <alignment horizontal="center" vertical="center" shrinkToFit="1"/>
    </xf>
    <xf numFmtId="166" fontId="76" fillId="32" borderId="18" xfId="0" applyNumberFormat="1" applyFont="1" applyFill="1" applyBorder="1" applyAlignment="1">
      <alignment vertical="center"/>
    </xf>
    <xf numFmtId="166" fontId="76" fillId="32" borderId="32" xfId="0" applyNumberFormat="1" applyFont="1" applyFill="1" applyBorder="1" applyAlignment="1">
      <alignment vertical="center"/>
    </xf>
    <xf numFmtId="166" fontId="76" fillId="33" borderId="34" xfId="0" applyNumberFormat="1" applyFont="1" applyFill="1" applyBorder="1" applyAlignment="1">
      <alignment vertical="center"/>
    </xf>
    <xf numFmtId="166" fontId="76" fillId="33" borderId="35" xfId="0" applyNumberFormat="1" applyFont="1" applyFill="1" applyBorder="1" applyAlignment="1">
      <alignment vertical="center"/>
    </xf>
    <xf numFmtId="0" fontId="70" fillId="29" borderId="36" xfId="0" applyFont="1" applyFill="1" applyBorder="1" applyAlignment="1">
      <alignment horizontal="center" vertical="center"/>
    </xf>
    <xf numFmtId="0" fontId="80" fillId="28" borderId="30" xfId="0" applyFont="1" applyFill="1" applyBorder="1"/>
    <xf numFmtId="164" fontId="80" fillId="28" borderId="30" xfId="0" applyNumberFormat="1" applyFont="1" applyFill="1" applyBorder="1"/>
    <xf numFmtId="164" fontId="80" fillId="28" borderId="33" xfId="0" applyNumberFormat="1" applyFont="1" applyFill="1" applyBorder="1"/>
    <xf numFmtId="0" fontId="81" fillId="29" borderId="21" xfId="0" applyFont="1" applyFill="1" applyBorder="1" applyAlignment="1">
      <alignment vertical="center"/>
    </xf>
    <xf numFmtId="0" fontId="81" fillId="29" borderId="23" xfId="0" applyFont="1" applyFill="1" applyBorder="1" applyAlignment="1">
      <alignment vertical="center"/>
    </xf>
    <xf numFmtId="0" fontId="82" fillId="29" borderId="20" xfId="0" applyFont="1" applyFill="1" applyBorder="1" applyAlignment="1">
      <alignment vertical="center"/>
    </xf>
    <xf numFmtId="0" fontId="82" fillId="29" borderId="0" xfId="0" applyFont="1" applyFill="1" applyBorder="1" applyAlignment="1">
      <alignment vertical="center"/>
    </xf>
    <xf numFmtId="0" fontId="83" fillId="29" borderId="19" xfId="0" applyFont="1" applyFill="1" applyBorder="1" applyAlignment="1">
      <alignment horizontal="left" vertical="center" indent="1"/>
    </xf>
    <xf numFmtId="0" fontId="83" fillId="29" borderId="22" xfId="0" applyFont="1" applyFill="1" applyBorder="1" applyAlignment="1">
      <alignment horizontal="left" vertical="center" indent="1"/>
    </xf>
    <xf numFmtId="0" fontId="83" fillId="29" borderId="22" xfId="0" applyFont="1" applyFill="1" applyBorder="1" applyAlignment="1">
      <alignment horizontal="left" vertical="center" indent="2"/>
    </xf>
    <xf numFmtId="0" fontId="70" fillId="0" borderId="0" xfId="0" applyFont="1" applyBorder="1" applyAlignment="1">
      <alignment horizontal="center" vertical="center"/>
    </xf>
  </cellXfs>
  <cellStyles count="741">
    <cellStyle name="20% - Accent1" xfId="49" xr:uid="{00000000-0005-0000-0000-000000000000}"/>
    <cellStyle name="20% - Accent1 2" xfId="1" xr:uid="{00000000-0005-0000-0000-000001000000}"/>
    <cellStyle name="20% - Accent1 3" xfId="2" xr:uid="{00000000-0005-0000-0000-000002000000}"/>
    <cellStyle name="20% - Accent1 4" xfId="3" xr:uid="{00000000-0005-0000-0000-000003000000}"/>
    <cellStyle name="20% - Accent1 5" xfId="4" xr:uid="{00000000-0005-0000-0000-000004000000}"/>
    <cellStyle name="20% - Accent1 6" xfId="5" xr:uid="{00000000-0005-0000-0000-000005000000}"/>
    <cellStyle name="20% - Accent1 7" xfId="6" xr:uid="{00000000-0005-0000-0000-000006000000}"/>
    <cellStyle name="20% - Accent1 8" xfId="7" xr:uid="{00000000-0005-0000-0000-000007000000}"/>
    <cellStyle name="20% - Accent1_000 บวกแบบมีหนังสือ สันติพงษ์ตอย" xfId="8" xr:uid="{00000000-0005-0000-0000-000008000000}"/>
    <cellStyle name="20% - Accent2" xfId="58" xr:uid="{00000000-0005-0000-0000-000009000000}"/>
    <cellStyle name="20% - Accent2 2" xfId="9" xr:uid="{00000000-0005-0000-0000-00000A000000}"/>
    <cellStyle name="20% - Accent2 3" xfId="10" xr:uid="{00000000-0005-0000-0000-00000B000000}"/>
    <cellStyle name="20% - Accent2 4" xfId="11" xr:uid="{00000000-0005-0000-0000-00000C000000}"/>
    <cellStyle name="20% - Accent2 5" xfId="12" xr:uid="{00000000-0005-0000-0000-00000D000000}"/>
    <cellStyle name="20% - Accent2 6" xfId="13" xr:uid="{00000000-0005-0000-0000-00000E000000}"/>
    <cellStyle name="20% - Accent2 7" xfId="14" xr:uid="{00000000-0005-0000-0000-00000F000000}"/>
    <cellStyle name="20% - Accent2 8" xfId="15" xr:uid="{00000000-0005-0000-0000-000010000000}"/>
    <cellStyle name="20% - Accent2_000 บวกแบบมีหนังสือ สันติพงษ์ตอย" xfId="16" xr:uid="{00000000-0005-0000-0000-000011000000}"/>
    <cellStyle name="20% - Accent3" xfId="67" xr:uid="{00000000-0005-0000-0000-000012000000}"/>
    <cellStyle name="20% - Accent3 2" xfId="17" xr:uid="{00000000-0005-0000-0000-000013000000}"/>
    <cellStyle name="20% - Accent3 3" xfId="18" xr:uid="{00000000-0005-0000-0000-000014000000}"/>
    <cellStyle name="20% - Accent3 4" xfId="19" xr:uid="{00000000-0005-0000-0000-000015000000}"/>
    <cellStyle name="20% - Accent3 5" xfId="20" xr:uid="{00000000-0005-0000-0000-000016000000}"/>
    <cellStyle name="20% - Accent3 6" xfId="21" xr:uid="{00000000-0005-0000-0000-000017000000}"/>
    <cellStyle name="20% - Accent3 7" xfId="22" xr:uid="{00000000-0005-0000-0000-000018000000}"/>
    <cellStyle name="20% - Accent3 8" xfId="23" xr:uid="{00000000-0005-0000-0000-000019000000}"/>
    <cellStyle name="20% - Accent3_000 บวกแบบมีหนังสือ สันติพงษ์ตอย" xfId="24" xr:uid="{00000000-0005-0000-0000-00001A000000}"/>
    <cellStyle name="20% - Accent4" xfId="76" xr:uid="{00000000-0005-0000-0000-00001B000000}"/>
    <cellStyle name="20% - Accent4 2" xfId="25" xr:uid="{00000000-0005-0000-0000-00001C000000}"/>
    <cellStyle name="20% - Accent4 3" xfId="26" xr:uid="{00000000-0005-0000-0000-00001D000000}"/>
    <cellStyle name="20% - Accent4 4" xfId="27" xr:uid="{00000000-0005-0000-0000-00001E000000}"/>
    <cellStyle name="20% - Accent4 5" xfId="28" xr:uid="{00000000-0005-0000-0000-00001F000000}"/>
    <cellStyle name="20% - Accent4 6" xfId="29" xr:uid="{00000000-0005-0000-0000-000020000000}"/>
    <cellStyle name="20% - Accent4 7" xfId="30" xr:uid="{00000000-0005-0000-0000-000021000000}"/>
    <cellStyle name="20% - Accent4 8" xfId="31" xr:uid="{00000000-0005-0000-0000-000022000000}"/>
    <cellStyle name="20% - Accent4_000 บวกแบบมีหนังสือ สันติพงษ์ตอย" xfId="32" xr:uid="{00000000-0005-0000-0000-000023000000}"/>
    <cellStyle name="20% - Accent5" xfId="85" xr:uid="{00000000-0005-0000-0000-000024000000}"/>
    <cellStyle name="20% - Accent5 2" xfId="33" xr:uid="{00000000-0005-0000-0000-000025000000}"/>
    <cellStyle name="20% - Accent5 3" xfId="34" xr:uid="{00000000-0005-0000-0000-000026000000}"/>
    <cellStyle name="20% - Accent5 4" xfId="35" xr:uid="{00000000-0005-0000-0000-000027000000}"/>
    <cellStyle name="20% - Accent5 5" xfId="36" xr:uid="{00000000-0005-0000-0000-000028000000}"/>
    <cellStyle name="20% - Accent5 6" xfId="37" xr:uid="{00000000-0005-0000-0000-000029000000}"/>
    <cellStyle name="20% - Accent5 7" xfId="38" xr:uid="{00000000-0005-0000-0000-00002A000000}"/>
    <cellStyle name="20% - Accent5 8" xfId="39" xr:uid="{00000000-0005-0000-0000-00002B000000}"/>
    <cellStyle name="20% - Accent5_000 บวกแบบมีหนังสือ สันติพงษ์ตอย" xfId="40" xr:uid="{00000000-0005-0000-0000-00002C000000}"/>
    <cellStyle name="20% - Accent6" xfId="94" xr:uid="{00000000-0005-0000-0000-00002D000000}"/>
    <cellStyle name="20% - Accent6 2" xfId="41" xr:uid="{00000000-0005-0000-0000-00002E000000}"/>
    <cellStyle name="20% - Accent6 3" xfId="42" xr:uid="{00000000-0005-0000-0000-00002F000000}"/>
    <cellStyle name="20% - Accent6 4" xfId="43" xr:uid="{00000000-0005-0000-0000-000030000000}"/>
    <cellStyle name="20% - Accent6 5" xfId="44" xr:uid="{00000000-0005-0000-0000-000031000000}"/>
    <cellStyle name="20% - Accent6 6" xfId="45" xr:uid="{00000000-0005-0000-0000-000032000000}"/>
    <cellStyle name="20% - Accent6 7" xfId="46" xr:uid="{00000000-0005-0000-0000-000033000000}"/>
    <cellStyle name="20% - Accent6 8" xfId="47" xr:uid="{00000000-0005-0000-0000-000034000000}"/>
    <cellStyle name="20% - Accent6_000 บวกแบบมีหนังสือ สันติพงษ์ตอย" xfId="48" xr:uid="{00000000-0005-0000-0000-000035000000}"/>
    <cellStyle name="20% - ส่วนที่ถูกเน้น1 2" xfId="50" xr:uid="{00000000-0005-0000-0000-000037000000}"/>
    <cellStyle name="20% - ส่วนที่ถูกเน้น1 2 2" xfId="51" xr:uid="{00000000-0005-0000-0000-000038000000}"/>
    <cellStyle name="20% - ส่วนที่ถูกเน้น1 2 3" xfId="52" xr:uid="{00000000-0005-0000-0000-000039000000}"/>
    <cellStyle name="20% - ส่วนที่ถูกเน้น1 2 4" xfId="53" xr:uid="{00000000-0005-0000-0000-00003A000000}"/>
    <cellStyle name="20% - ส่วนที่ถูกเน้น1 2_Sheet1" xfId="54" xr:uid="{00000000-0005-0000-0000-00003B000000}"/>
    <cellStyle name="20% - ส่วนที่ถูกเน้น1 3" xfId="55" xr:uid="{00000000-0005-0000-0000-00003C000000}"/>
    <cellStyle name="20% - ส่วนที่ถูกเน้น1 4" xfId="56" xr:uid="{00000000-0005-0000-0000-00003D000000}"/>
    <cellStyle name="20% - ส่วนที่ถูกเน้น1 5" xfId="57" xr:uid="{00000000-0005-0000-0000-00003E000000}"/>
    <cellStyle name="20% - ส่วนที่ถูกเน้น2 2" xfId="59" xr:uid="{00000000-0005-0000-0000-000040000000}"/>
    <cellStyle name="20% - ส่วนที่ถูกเน้น2 2 2" xfId="60" xr:uid="{00000000-0005-0000-0000-000041000000}"/>
    <cellStyle name="20% - ส่วนที่ถูกเน้น2 2 3" xfId="61" xr:uid="{00000000-0005-0000-0000-000042000000}"/>
    <cellStyle name="20% - ส่วนที่ถูกเน้น2 2 4" xfId="62" xr:uid="{00000000-0005-0000-0000-000043000000}"/>
    <cellStyle name="20% - ส่วนที่ถูกเน้น2 2_Sheet1" xfId="63" xr:uid="{00000000-0005-0000-0000-000044000000}"/>
    <cellStyle name="20% - ส่วนที่ถูกเน้น2 3" xfId="64" xr:uid="{00000000-0005-0000-0000-000045000000}"/>
    <cellStyle name="20% - ส่วนที่ถูกเน้น2 4" xfId="65" xr:uid="{00000000-0005-0000-0000-000046000000}"/>
    <cellStyle name="20% - ส่วนที่ถูกเน้น2 5" xfId="66" xr:uid="{00000000-0005-0000-0000-000047000000}"/>
    <cellStyle name="20% - ส่วนที่ถูกเน้น3 2" xfId="68" xr:uid="{00000000-0005-0000-0000-000049000000}"/>
    <cellStyle name="20% - ส่วนที่ถูกเน้น3 2 2" xfId="69" xr:uid="{00000000-0005-0000-0000-00004A000000}"/>
    <cellStyle name="20% - ส่วนที่ถูกเน้น3 2 3" xfId="70" xr:uid="{00000000-0005-0000-0000-00004B000000}"/>
    <cellStyle name="20% - ส่วนที่ถูกเน้น3 2 4" xfId="71" xr:uid="{00000000-0005-0000-0000-00004C000000}"/>
    <cellStyle name="20% - ส่วนที่ถูกเน้น3 2_Sheet1" xfId="72" xr:uid="{00000000-0005-0000-0000-00004D000000}"/>
    <cellStyle name="20% - ส่วนที่ถูกเน้น3 3" xfId="73" xr:uid="{00000000-0005-0000-0000-00004E000000}"/>
    <cellStyle name="20% - ส่วนที่ถูกเน้น3 4" xfId="74" xr:uid="{00000000-0005-0000-0000-00004F000000}"/>
    <cellStyle name="20% - ส่วนที่ถูกเน้น3 5" xfId="75" xr:uid="{00000000-0005-0000-0000-000050000000}"/>
    <cellStyle name="20% - ส่วนที่ถูกเน้น4 2" xfId="77" xr:uid="{00000000-0005-0000-0000-000052000000}"/>
    <cellStyle name="20% - ส่วนที่ถูกเน้น4 2 2" xfId="78" xr:uid="{00000000-0005-0000-0000-000053000000}"/>
    <cellStyle name="20% - ส่วนที่ถูกเน้น4 2 3" xfId="79" xr:uid="{00000000-0005-0000-0000-000054000000}"/>
    <cellStyle name="20% - ส่วนที่ถูกเน้น4 2 4" xfId="80" xr:uid="{00000000-0005-0000-0000-000055000000}"/>
    <cellStyle name="20% - ส่วนที่ถูกเน้น4 2_Sheet1" xfId="81" xr:uid="{00000000-0005-0000-0000-000056000000}"/>
    <cellStyle name="20% - ส่วนที่ถูกเน้น4 3" xfId="82" xr:uid="{00000000-0005-0000-0000-000057000000}"/>
    <cellStyle name="20% - ส่วนที่ถูกเน้น4 4" xfId="83" xr:uid="{00000000-0005-0000-0000-000058000000}"/>
    <cellStyle name="20% - ส่วนที่ถูกเน้น4 5" xfId="84" xr:uid="{00000000-0005-0000-0000-000059000000}"/>
    <cellStyle name="20% - ส่วนที่ถูกเน้น5 2" xfId="86" xr:uid="{00000000-0005-0000-0000-00005B000000}"/>
    <cellStyle name="20% - ส่วนที่ถูกเน้น5 2 2" xfId="87" xr:uid="{00000000-0005-0000-0000-00005C000000}"/>
    <cellStyle name="20% - ส่วนที่ถูกเน้น5 2 3" xfId="88" xr:uid="{00000000-0005-0000-0000-00005D000000}"/>
    <cellStyle name="20% - ส่วนที่ถูกเน้น5 2 4" xfId="89" xr:uid="{00000000-0005-0000-0000-00005E000000}"/>
    <cellStyle name="20% - ส่วนที่ถูกเน้น5 2_Sheet1" xfId="90" xr:uid="{00000000-0005-0000-0000-00005F000000}"/>
    <cellStyle name="20% - ส่วนที่ถูกเน้น5 3" xfId="91" xr:uid="{00000000-0005-0000-0000-000060000000}"/>
    <cellStyle name="20% - ส่วนที่ถูกเน้น5 4" xfId="92" xr:uid="{00000000-0005-0000-0000-000061000000}"/>
    <cellStyle name="20% - ส่วนที่ถูกเน้น5 5" xfId="93" xr:uid="{00000000-0005-0000-0000-000062000000}"/>
    <cellStyle name="20% - ส่วนที่ถูกเน้น6 2" xfId="95" xr:uid="{00000000-0005-0000-0000-000064000000}"/>
    <cellStyle name="20% - ส่วนที่ถูกเน้น6 2 2" xfId="96" xr:uid="{00000000-0005-0000-0000-000065000000}"/>
    <cellStyle name="20% - ส่วนที่ถูกเน้น6 2 3" xfId="97" xr:uid="{00000000-0005-0000-0000-000066000000}"/>
    <cellStyle name="20% - ส่วนที่ถูกเน้น6 2 4" xfId="98" xr:uid="{00000000-0005-0000-0000-000067000000}"/>
    <cellStyle name="20% - ส่วนที่ถูกเน้น6 2_Sheet1" xfId="99" xr:uid="{00000000-0005-0000-0000-000068000000}"/>
    <cellStyle name="20% - ส่วนที่ถูกเน้น6 3" xfId="100" xr:uid="{00000000-0005-0000-0000-000069000000}"/>
    <cellStyle name="20% - ส่วนที่ถูกเน้น6 4" xfId="101" xr:uid="{00000000-0005-0000-0000-00006A000000}"/>
    <cellStyle name="20% - ส่วนที่ถูกเน้น6 5" xfId="102" xr:uid="{00000000-0005-0000-0000-00006B000000}"/>
    <cellStyle name="20% - 强调文字颜色 1" xfId="103" xr:uid="{00000000-0005-0000-0000-00006C000000}"/>
    <cellStyle name="20% - 强调文字颜色 2" xfId="104" xr:uid="{00000000-0005-0000-0000-00006D000000}"/>
    <cellStyle name="20% - 强调文字颜色 3" xfId="105" xr:uid="{00000000-0005-0000-0000-00006E000000}"/>
    <cellStyle name="20% - 强调文字颜色 4" xfId="106" xr:uid="{00000000-0005-0000-0000-00006F000000}"/>
    <cellStyle name="20% - 强调文字颜色 5" xfId="107" xr:uid="{00000000-0005-0000-0000-000070000000}"/>
    <cellStyle name="20% - 强调文字颜色 6" xfId="108" xr:uid="{00000000-0005-0000-0000-000071000000}"/>
    <cellStyle name="40% - Accent1" xfId="157" xr:uid="{00000000-0005-0000-0000-000072000000}"/>
    <cellStyle name="40% - Accent1 2" xfId="109" xr:uid="{00000000-0005-0000-0000-000073000000}"/>
    <cellStyle name="40% - Accent1 3" xfId="110" xr:uid="{00000000-0005-0000-0000-000074000000}"/>
    <cellStyle name="40% - Accent1 4" xfId="111" xr:uid="{00000000-0005-0000-0000-000075000000}"/>
    <cellStyle name="40% - Accent1 5" xfId="112" xr:uid="{00000000-0005-0000-0000-000076000000}"/>
    <cellStyle name="40% - Accent1 6" xfId="113" xr:uid="{00000000-0005-0000-0000-000077000000}"/>
    <cellStyle name="40% - Accent1 7" xfId="114" xr:uid="{00000000-0005-0000-0000-000078000000}"/>
    <cellStyle name="40% - Accent1 8" xfId="115" xr:uid="{00000000-0005-0000-0000-000079000000}"/>
    <cellStyle name="40% - Accent1_5302" xfId="116" xr:uid="{00000000-0005-0000-0000-00007A000000}"/>
    <cellStyle name="40% - Accent2" xfId="166" xr:uid="{00000000-0005-0000-0000-00007B000000}"/>
    <cellStyle name="40% - Accent2 2" xfId="117" xr:uid="{00000000-0005-0000-0000-00007C000000}"/>
    <cellStyle name="40% - Accent2 3" xfId="118" xr:uid="{00000000-0005-0000-0000-00007D000000}"/>
    <cellStyle name="40% - Accent2 4" xfId="119" xr:uid="{00000000-0005-0000-0000-00007E000000}"/>
    <cellStyle name="40% - Accent2 5" xfId="120" xr:uid="{00000000-0005-0000-0000-00007F000000}"/>
    <cellStyle name="40% - Accent2 6" xfId="121" xr:uid="{00000000-0005-0000-0000-000080000000}"/>
    <cellStyle name="40% - Accent2 7" xfId="122" xr:uid="{00000000-0005-0000-0000-000081000000}"/>
    <cellStyle name="40% - Accent2 8" xfId="123" xr:uid="{00000000-0005-0000-0000-000082000000}"/>
    <cellStyle name="40% - Accent2_000 บวกแบบมีหนังสือ สันติพงษ์ตอย" xfId="124" xr:uid="{00000000-0005-0000-0000-000083000000}"/>
    <cellStyle name="40% - Accent3" xfId="175" xr:uid="{00000000-0005-0000-0000-000084000000}"/>
    <cellStyle name="40% - Accent3 2" xfId="125" xr:uid="{00000000-0005-0000-0000-000085000000}"/>
    <cellStyle name="40% - Accent3 3" xfId="126" xr:uid="{00000000-0005-0000-0000-000086000000}"/>
    <cellStyle name="40% - Accent3 4" xfId="127" xr:uid="{00000000-0005-0000-0000-000087000000}"/>
    <cellStyle name="40% - Accent3 5" xfId="128" xr:uid="{00000000-0005-0000-0000-000088000000}"/>
    <cellStyle name="40% - Accent3 6" xfId="129" xr:uid="{00000000-0005-0000-0000-000089000000}"/>
    <cellStyle name="40% - Accent3 7" xfId="130" xr:uid="{00000000-0005-0000-0000-00008A000000}"/>
    <cellStyle name="40% - Accent3 8" xfId="131" xr:uid="{00000000-0005-0000-0000-00008B000000}"/>
    <cellStyle name="40% - Accent3_000 บวกแบบมีหนังสือ สันติพงษ์ตอย" xfId="132" xr:uid="{00000000-0005-0000-0000-00008C000000}"/>
    <cellStyle name="40% - Accent4" xfId="184" xr:uid="{00000000-0005-0000-0000-00008D000000}"/>
    <cellStyle name="40% - Accent4 2" xfId="133" xr:uid="{00000000-0005-0000-0000-00008E000000}"/>
    <cellStyle name="40% - Accent4 3" xfId="134" xr:uid="{00000000-0005-0000-0000-00008F000000}"/>
    <cellStyle name="40% - Accent4 4" xfId="135" xr:uid="{00000000-0005-0000-0000-000090000000}"/>
    <cellStyle name="40% - Accent4 5" xfId="136" xr:uid="{00000000-0005-0000-0000-000091000000}"/>
    <cellStyle name="40% - Accent4 6" xfId="137" xr:uid="{00000000-0005-0000-0000-000092000000}"/>
    <cellStyle name="40% - Accent4 7" xfId="138" xr:uid="{00000000-0005-0000-0000-000093000000}"/>
    <cellStyle name="40% - Accent4 8" xfId="139" xr:uid="{00000000-0005-0000-0000-000094000000}"/>
    <cellStyle name="40% - Accent4_000 บวกแบบมีหนังสือ สันติพงษ์ตอย" xfId="140" xr:uid="{00000000-0005-0000-0000-000095000000}"/>
    <cellStyle name="40% - Accent5" xfId="193" xr:uid="{00000000-0005-0000-0000-000096000000}"/>
    <cellStyle name="40% - Accent5 2" xfId="141" xr:uid="{00000000-0005-0000-0000-000097000000}"/>
    <cellStyle name="40% - Accent5 3" xfId="142" xr:uid="{00000000-0005-0000-0000-000098000000}"/>
    <cellStyle name="40% - Accent5 4" xfId="143" xr:uid="{00000000-0005-0000-0000-000099000000}"/>
    <cellStyle name="40% - Accent5 5" xfId="144" xr:uid="{00000000-0005-0000-0000-00009A000000}"/>
    <cellStyle name="40% - Accent5 6" xfId="145" xr:uid="{00000000-0005-0000-0000-00009B000000}"/>
    <cellStyle name="40% - Accent5 7" xfId="146" xr:uid="{00000000-0005-0000-0000-00009C000000}"/>
    <cellStyle name="40% - Accent5 8" xfId="147" xr:uid="{00000000-0005-0000-0000-00009D000000}"/>
    <cellStyle name="40% - Accent5_5302" xfId="148" xr:uid="{00000000-0005-0000-0000-00009E000000}"/>
    <cellStyle name="40% - Accent6" xfId="202" xr:uid="{00000000-0005-0000-0000-00009F000000}"/>
    <cellStyle name="40% - Accent6 2" xfId="149" xr:uid="{00000000-0005-0000-0000-0000A0000000}"/>
    <cellStyle name="40% - Accent6 3" xfId="150" xr:uid="{00000000-0005-0000-0000-0000A1000000}"/>
    <cellStyle name="40% - Accent6 4" xfId="151" xr:uid="{00000000-0005-0000-0000-0000A2000000}"/>
    <cellStyle name="40% - Accent6 5" xfId="152" xr:uid="{00000000-0005-0000-0000-0000A3000000}"/>
    <cellStyle name="40% - Accent6 6" xfId="153" xr:uid="{00000000-0005-0000-0000-0000A4000000}"/>
    <cellStyle name="40% - Accent6 7" xfId="154" xr:uid="{00000000-0005-0000-0000-0000A5000000}"/>
    <cellStyle name="40% - Accent6 8" xfId="155" xr:uid="{00000000-0005-0000-0000-0000A6000000}"/>
    <cellStyle name="40% - Accent6_000 บวกแบบมีหนังสือ สันติพงษ์ตอย" xfId="156" xr:uid="{00000000-0005-0000-0000-0000A7000000}"/>
    <cellStyle name="40% - ส่วนที่ถูกเน้น1 2" xfId="158" xr:uid="{00000000-0005-0000-0000-0000A9000000}"/>
    <cellStyle name="40% - ส่วนที่ถูกเน้น1 2 2" xfId="159" xr:uid="{00000000-0005-0000-0000-0000AA000000}"/>
    <cellStyle name="40% - ส่วนที่ถูกเน้น1 2 3" xfId="160" xr:uid="{00000000-0005-0000-0000-0000AB000000}"/>
    <cellStyle name="40% - ส่วนที่ถูกเน้น1 2 4" xfId="161" xr:uid="{00000000-0005-0000-0000-0000AC000000}"/>
    <cellStyle name="40% - ส่วนที่ถูกเน้น1 2_Sheet1" xfId="162" xr:uid="{00000000-0005-0000-0000-0000AD000000}"/>
    <cellStyle name="40% - ส่วนที่ถูกเน้น1 3" xfId="163" xr:uid="{00000000-0005-0000-0000-0000AE000000}"/>
    <cellStyle name="40% - ส่วนที่ถูกเน้น1 4" xfId="164" xr:uid="{00000000-0005-0000-0000-0000AF000000}"/>
    <cellStyle name="40% - ส่วนที่ถูกเน้น1 5" xfId="165" xr:uid="{00000000-0005-0000-0000-0000B0000000}"/>
    <cellStyle name="40% - ส่วนที่ถูกเน้น2 2" xfId="167" xr:uid="{00000000-0005-0000-0000-0000B2000000}"/>
    <cellStyle name="40% - ส่วนที่ถูกเน้น2 2 2" xfId="168" xr:uid="{00000000-0005-0000-0000-0000B3000000}"/>
    <cellStyle name="40% - ส่วนที่ถูกเน้น2 2 3" xfId="169" xr:uid="{00000000-0005-0000-0000-0000B4000000}"/>
    <cellStyle name="40% - ส่วนที่ถูกเน้น2 2 4" xfId="170" xr:uid="{00000000-0005-0000-0000-0000B5000000}"/>
    <cellStyle name="40% - ส่วนที่ถูกเน้น2 2_Sheet1" xfId="171" xr:uid="{00000000-0005-0000-0000-0000B6000000}"/>
    <cellStyle name="40% - ส่วนที่ถูกเน้น2 3" xfId="172" xr:uid="{00000000-0005-0000-0000-0000B7000000}"/>
    <cellStyle name="40% - ส่วนที่ถูกเน้น2 4" xfId="173" xr:uid="{00000000-0005-0000-0000-0000B8000000}"/>
    <cellStyle name="40% - ส่วนที่ถูกเน้น2 5" xfId="174" xr:uid="{00000000-0005-0000-0000-0000B9000000}"/>
    <cellStyle name="40% - ส่วนที่ถูกเน้น3 2" xfId="176" xr:uid="{00000000-0005-0000-0000-0000BB000000}"/>
    <cellStyle name="40% - ส่วนที่ถูกเน้น3 2 2" xfId="177" xr:uid="{00000000-0005-0000-0000-0000BC000000}"/>
    <cellStyle name="40% - ส่วนที่ถูกเน้น3 2 3" xfId="178" xr:uid="{00000000-0005-0000-0000-0000BD000000}"/>
    <cellStyle name="40% - ส่วนที่ถูกเน้น3 2 4" xfId="179" xr:uid="{00000000-0005-0000-0000-0000BE000000}"/>
    <cellStyle name="40% - ส่วนที่ถูกเน้น3 2_Sheet1" xfId="180" xr:uid="{00000000-0005-0000-0000-0000BF000000}"/>
    <cellStyle name="40% - ส่วนที่ถูกเน้น3 3" xfId="181" xr:uid="{00000000-0005-0000-0000-0000C0000000}"/>
    <cellStyle name="40% - ส่วนที่ถูกเน้น3 4" xfId="182" xr:uid="{00000000-0005-0000-0000-0000C1000000}"/>
    <cellStyle name="40% - ส่วนที่ถูกเน้น3 5" xfId="183" xr:uid="{00000000-0005-0000-0000-0000C2000000}"/>
    <cellStyle name="40% - ส่วนที่ถูกเน้น4 2" xfId="185" xr:uid="{00000000-0005-0000-0000-0000C4000000}"/>
    <cellStyle name="40% - ส่วนที่ถูกเน้น4 2 2" xfId="186" xr:uid="{00000000-0005-0000-0000-0000C5000000}"/>
    <cellStyle name="40% - ส่วนที่ถูกเน้น4 2 3" xfId="187" xr:uid="{00000000-0005-0000-0000-0000C6000000}"/>
    <cellStyle name="40% - ส่วนที่ถูกเน้น4 2 4" xfId="188" xr:uid="{00000000-0005-0000-0000-0000C7000000}"/>
    <cellStyle name="40% - ส่วนที่ถูกเน้น4 2_Sheet1" xfId="189" xr:uid="{00000000-0005-0000-0000-0000C8000000}"/>
    <cellStyle name="40% - ส่วนที่ถูกเน้น4 3" xfId="190" xr:uid="{00000000-0005-0000-0000-0000C9000000}"/>
    <cellStyle name="40% - ส่วนที่ถูกเน้น4 4" xfId="191" xr:uid="{00000000-0005-0000-0000-0000CA000000}"/>
    <cellStyle name="40% - ส่วนที่ถูกเน้น4 5" xfId="192" xr:uid="{00000000-0005-0000-0000-0000CB000000}"/>
    <cellStyle name="40% - ส่วนที่ถูกเน้น5 2" xfId="194" xr:uid="{00000000-0005-0000-0000-0000CD000000}"/>
    <cellStyle name="40% - ส่วนที่ถูกเน้น5 2 2" xfId="195" xr:uid="{00000000-0005-0000-0000-0000CE000000}"/>
    <cellStyle name="40% - ส่วนที่ถูกเน้น5 2 3" xfId="196" xr:uid="{00000000-0005-0000-0000-0000CF000000}"/>
    <cellStyle name="40% - ส่วนที่ถูกเน้น5 2 4" xfId="197" xr:uid="{00000000-0005-0000-0000-0000D0000000}"/>
    <cellStyle name="40% - ส่วนที่ถูกเน้น5 2_Sheet1" xfId="198" xr:uid="{00000000-0005-0000-0000-0000D1000000}"/>
    <cellStyle name="40% - ส่วนที่ถูกเน้น5 3" xfId="199" xr:uid="{00000000-0005-0000-0000-0000D2000000}"/>
    <cellStyle name="40% - ส่วนที่ถูกเน้น5 4" xfId="200" xr:uid="{00000000-0005-0000-0000-0000D3000000}"/>
    <cellStyle name="40% - ส่วนที่ถูกเน้น5 5" xfId="201" xr:uid="{00000000-0005-0000-0000-0000D4000000}"/>
    <cellStyle name="40% - ส่วนที่ถูกเน้น6 2" xfId="203" xr:uid="{00000000-0005-0000-0000-0000D6000000}"/>
    <cellStyle name="40% - ส่วนที่ถูกเน้น6 2 2" xfId="204" xr:uid="{00000000-0005-0000-0000-0000D7000000}"/>
    <cellStyle name="40% - ส่วนที่ถูกเน้น6 2 3" xfId="205" xr:uid="{00000000-0005-0000-0000-0000D8000000}"/>
    <cellStyle name="40% - ส่วนที่ถูกเน้น6 2 4" xfId="206" xr:uid="{00000000-0005-0000-0000-0000D9000000}"/>
    <cellStyle name="40% - ส่วนที่ถูกเน้น6 2_Sheet1" xfId="207" xr:uid="{00000000-0005-0000-0000-0000DA000000}"/>
    <cellStyle name="40% - ส่วนที่ถูกเน้น6 3" xfId="208" xr:uid="{00000000-0005-0000-0000-0000DB000000}"/>
    <cellStyle name="40% - ส่วนที่ถูกเน้น6 4" xfId="209" xr:uid="{00000000-0005-0000-0000-0000DC000000}"/>
    <cellStyle name="40% - ส่วนที่ถูกเน้น6 5" xfId="210" xr:uid="{00000000-0005-0000-0000-0000DD000000}"/>
    <cellStyle name="40% - 强调文字颜色 1" xfId="211" xr:uid="{00000000-0005-0000-0000-0000DE000000}"/>
    <cellStyle name="40% - 强调文字颜色 2" xfId="212" xr:uid="{00000000-0005-0000-0000-0000DF000000}"/>
    <cellStyle name="40% - 强调文字颜色 3" xfId="213" xr:uid="{00000000-0005-0000-0000-0000E0000000}"/>
    <cellStyle name="40% - 强调文字颜色 4" xfId="214" xr:uid="{00000000-0005-0000-0000-0000E1000000}"/>
    <cellStyle name="40% - 强调文字颜色 5" xfId="215" xr:uid="{00000000-0005-0000-0000-0000E2000000}"/>
    <cellStyle name="40% - 强调文字颜色 6" xfId="216" xr:uid="{00000000-0005-0000-0000-0000E3000000}"/>
    <cellStyle name="60% - Accent1" xfId="217" xr:uid="{00000000-0005-0000-0000-0000E4000000}"/>
    <cellStyle name="60% - Accent2" xfId="226" xr:uid="{00000000-0005-0000-0000-0000E5000000}"/>
    <cellStyle name="60% - Accent3" xfId="235" xr:uid="{00000000-0005-0000-0000-0000E6000000}"/>
    <cellStyle name="60% - Accent4" xfId="244" xr:uid="{00000000-0005-0000-0000-0000E7000000}"/>
    <cellStyle name="60% - Accent5" xfId="253" xr:uid="{00000000-0005-0000-0000-0000E8000000}"/>
    <cellStyle name="60% - Accent6" xfId="262" xr:uid="{00000000-0005-0000-0000-0000E9000000}"/>
    <cellStyle name="60% - ส่วนที่ถูกเน้น1 2" xfId="218" xr:uid="{00000000-0005-0000-0000-0000EB000000}"/>
    <cellStyle name="60% - ส่วนที่ถูกเน้น1 2 2" xfId="219" xr:uid="{00000000-0005-0000-0000-0000EC000000}"/>
    <cellStyle name="60% - ส่วนที่ถูกเน้น1 2 3" xfId="220" xr:uid="{00000000-0005-0000-0000-0000ED000000}"/>
    <cellStyle name="60% - ส่วนที่ถูกเน้น1 2 4" xfId="221" xr:uid="{00000000-0005-0000-0000-0000EE000000}"/>
    <cellStyle name="60% - ส่วนที่ถูกเน้น1 2_Sheet1" xfId="222" xr:uid="{00000000-0005-0000-0000-0000EF000000}"/>
    <cellStyle name="60% - ส่วนที่ถูกเน้น1 3" xfId="223" xr:uid="{00000000-0005-0000-0000-0000F0000000}"/>
    <cellStyle name="60% - ส่วนที่ถูกเน้น1 4" xfId="224" xr:uid="{00000000-0005-0000-0000-0000F1000000}"/>
    <cellStyle name="60% - ส่วนที่ถูกเน้น1 5" xfId="225" xr:uid="{00000000-0005-0000-0000-0000F2000000}"/>
    <cellStyle name="60% - ส่วนที่ถูกเน้น2 2" xfId="227" xr:uid="{00000000-0005-0000-0000-0000F4000000}"/>
    <cellStyle name="60% - ส่วนที่ถูกเน้น2 2 2" xfId="228" xr:uid="{00000000-0005-0000-0000-0000F5000000}"/>
    <cellStyle name="60% - ส่วนที่ถูกเน้น2 2 3" xfId="229" xr:uid="{00000000-0005-0000-0000-0000F6000000}"/>
    <cellStyle name="60% - ส่วนที่ถูกเน้น2 2 4" xfId="230" xr:uid="{00000000-0005-0000-0000-0000F7000000}"/>
    <cellStyle name="60% - ส่วนที่ถูกเน้น2 2_Sheet1" xfId="231" xr:uid="{00000000-0005-0000-0000-0000F8000000}"/>
    <cellStyle name="60% - ส่วนที่ถูกเน้น2 3" xfId="232" xr:uid="{00000000-0005-0000-0000-0000F9000000}"/>
    <cellStyle name="60% - ส่วนที่ถูกเน้น2 4" xfId="233" xr:uid="{00000000-0005-0000-0000-0000FA000000}"/>
    <cellStyle name="60% - ส่วนที่ถูกเน้น2 5" xfId="234" xr:uid="{00000000-0005-0000-0000-0000FB000000}"/>
    <cellStyle name="60% - ส่วนที่ถูกเน้น3 2" xfId="236" xr:uid="{00000000-0005-0000-0000-0000FD000000}"/>
    <cellStyle name="60% - ส่วนที่ถูกเน้น3 2 2" xfId="237" xr:uid="{00000000-0005-0000-0000-0000FE000000}"/>
    <cellStyle name="60% - ส่วนที่ถูกเน้น3 2 3" xfId="238" xr:uid="{00000000-0005-0000-0000-0000FF000000}"/>
    <cellStyle name="60% - ส่วนที่ถูกเน้น3 2 4" xfId="239" xr:uid="{00000000-0005-0000-0000-000000010000}"/>
    <cellStyle name="60% - ส่วนที่ถูกเน้น3 2_Sheet1" xfId="240" xr:uid="{00000000-0005-0000-0000-000001010000}"/>
    <cellStyle name="60% - ส่วนที่ถูกเน้น3 3" xfId="241" xr:uid="{00000000-0005-0000-0000-000002010000}"/>
    <cellStyle name="60% - ส่วนที่ถูกเน้น3 4" xfId="242" xr:uid="{00000000-0005-0000-0000-000003010000}"/>
    <cellStyle name="60% - ส่วนที่ถูกเน้น3 5" xfId="243" xr:uid="{00000000-0005-0000-0000-000004010000}"/>
    <cellStyle name="60% - ส่วนที่ถูกเน้น4 2" xfId="245" xr:uid="{00000000-0005-0000-0000-000006010000}"/>
    <cellStyle name="60% - ส่วนที่ถูกเน้น4 2 2" xfId="246" xr:uid="{00000000-0005-0000-0000-000007010000}"/>
    <cellStyle name="60% - ส่วนที่ถูกเน้น4 2 3" xfId="247" xr:uid="{00000000-0005-0000-0000-000008010000}"/>
    <cellStyle name="60% - ส่วนที่ถูกเน้น4 2 4" xfId="248" xr:uid="{00000000-0005-0000-0000-000009010000}"/>
    <cellStyle name="60% - ส่วนที่ถูกเน้น4 2_Sheet1" xfId="249" xr:uid="{00000000-0005-0000-0000-00000A010000}"/>
    <cellStyle name="60% - ส่วนที่ถูกเน้น4 3" xfId="250" xr:uid="{00000000-0005-0000-0000-00000B010000}"/>
    <cellStyle name="60% - ส่วนที่ถูกเน้น4 4" xfId="251" xr:uid="{00000000-0005-0000-0000-00000C010000}"/>
    <cellStyle name="60% - ส่วนที่ถูกเน้น4 5" xfId="252" xr:uid="{00000000-0005-0000-0000-00000D010000}"/>
    <cellStyle name="60% - ส่วนที่ถูกเน้น5 2" xfId="254" xr:uid="{00000000-0005-0000-0000-00000F010000}"/>
    <cellStyle name="60% - ส่วนที่ถูกเน้น5 2 2" xfId="255" xr:uid="{00000000-0005-0000-0000-000010010000}"/>
    <cellStyle name="60% - ส่วนที่ถูกเน้น5 2 3" xfId="256" xr:uid="{00000000-0005-0000-0000-000011010000}"/>
    <cellStyle name="60% - ส่วนที่ถูกเน้น5 2 4" xfId="257" xr:uid="{00000000-0005-0000-0000-000012010000}"/>
    <cellStyle name="60% - ส่วนที่ถูกเน้น5 2_Sheet1" xfId="258" xr:uid="{00000000-0005-0000-0000-000013010000}"/>
    <cellStyle name="60% - ส่วนที่ถูกเน้น5 3" xfId="259" xr:uid="{00000000-0005-0000-0000-000014010000}"/>
    <cellStyle name="60% - ส่วนที่ถูกเน้น5 4" xfId="260" xr:uid="{00000000-0005-0000-0000-000015010000}"/>
    <cellStyle name="60% - ส่วนที่ถูกเน้น5 5" xfId="261" xr:uid="{00000000-0005-0000-0000-000016010000}"/>
    <cellStyle name="60% - ส่วนที่ถูกเน้น6 2" xfId="263" xr:uid="{00000000-0005-0000-0000-000018010000}"/>
    <cellStyle name="60% - ส่วนที่ถูกเน้น6 2 2" xfId="264" xr:uid="{00000000-0005-0000-0000-000019010000}"/>
    <cellStyle name="60% - ส่วนที่ถูกเน้น6 2 3" xfId="265" xr:uid="{00000000-0005-0000-0000-00001A010000}"/>
    <cellStyle name="60% - ส่วนที่ถูกเน้น6 2 4" xfId="266" xr:uid="{00000000-0005-0000-0000-00001B010000}"/>
    <cellStyle name="60% - ส่วนที่ถูกเน้น6 2_Sheet1" xfId="267" xr:uid="{00000000-0005-0000-0000-00001C010000}"/>
    <cellStyle name="60% - ส่วนที่ถูกเน้น6 3" xfId="268" xr:uid="{00000000-0005-0000-0000-00001D010000}"/>
    <cellStyle name="60% - ส่วนที่ถูกเน้น6 4" xfId="269" xr:uid="{00000000-0005-0000-0000-00001E010000}"/>
    <cellStyle name="60% - ส่วนที่ถูกเน้น6 5" xfId="270" xr:uid="{00000000-0005-0000-0000-00001F010000}"/>
    <cellStyle name="60% - 强调文字颜色 1" xfId="271" xr:uid="{00000000-0005-0000-0000-000020010000}"/>
    <cellStyle name="60% - 强调文字颜色 2" xfId="272" xr:uid="{00000000-0005-0000-0000-000021010000}"/>
    <cellStyle name="60% - 强调文字颜色 3" xfId="273" xr:uid="{00000000-0005-0000-0000-000022010000}"/>
    <cellStyle name="60% - 强调文字颜色 4" xfId="274" xr:uid="{00000000-0005-0000-0000-000023010000}"/>
    <cellStyle name="60% - 强调文字颜色 5" xfId="275" xr:uid="{00000000-0005-0000-0000-000024010000}"/>
    <cellStyle name="60% - 强调文字颜色 6" xfId="276" xr:uid="{00000000-0005-0000-0000-000025010000}"/>
    <cellStyle name="Accent1" xfId="596" xr:uid="{00000000-0005-0000-0000-000026010000}"/>
    <cellStyle name="Accent2" xfId="605" xr:uid="{00000000-0005-0000-0000-000027010000}"/>
    <cellStyle name="Accent3" xfId="614" xr:uid="{00000000-0005-0000-0000-000028010000}"/>
    <cellStyle name="Accent4" xfId="623" xr:uid="{00000000-0005-0000-0000-000029010000}"/>
    <cellStyle name="Accent5" xfId="632" xr:uid="{00000000-0005-0000-0000-00002A010000}"/>
    <cellStyle name="Accent6" xfId="641" xr:uid="{00000000-0005-0000-0000-00002B010000}"/>
    <cellStyle name="Bad" xfId="587" xr:uid="{00000000-0005-0000-0000-00002C010000}"/>
    <cellStyle name="Calculation" xfId="449" xr:uid="{00000000-0005-0000-0000-00002D010000}"/>
    <cellStyle name="Check Cell" xfId="488" xr:uid="{00000000-0005-0000-0000-00002E010000}"/>
    <cellStyle name="Comma" xfId="476" builtinId="3"/>
    <cellStyle name="comma zerodec" xfId="277" xr:uid="{00000000-0005-0000-0000-00002F010000}"/>
    <cellStyle name="Currency1" xfId="278" xr:uid="{00000000-0005-0000-0000-000031010000}"/>
    <cellStyle name="Currency1 2" xfId="279" xr:uid="{00000000-0005-0000-0000-000032010000}"/>
    <cellStyle name="Currency1 2 2" xfId="280" xr:uid="{00000000-0005-0000-0000-000033010000}"/>
    <cellStyle name="Currency1 2 3" xfId="281" xr:uid="{00000000-0005-0000-0000-000034010000}"/>
    <cellStyle name="Currency1 2 4" xfId="282" xr:uid="{00000000-0005-0000-0000-000035010000}"/>
    <cellStyle name="Currency1 2 5" xfId="283" xr:uid="{00000000-0005-0000-0000-000036010000}"/>
    <cellStyle name="Currency1 2_ตยครู 55ส่งกรม " xfId="284" xr:uid="{00000000-0005-0000-0000-000037010000}"/>
    <cellStyle name="Currency1 3" xfId="285" xr:uid="{00000000-0005-0000-0000-000038010000}"/>
    <cellStyle name="Currency1 3 2" xfId="286" xr:uid="{00000000-0005-0000-0000-000039010000}"/>
    <cellStyle name="Currency1 3 3" xfId="287" xr:uid="{00000000-0005-0000-0000-00003A010000}"/>
    <cellStyle name="Currency1 3 4" xfId="288" xr:uid="{00000000-0005-0000-0000-00003B010000}"/>
    <cellStyle name="Currency1 3 5" xfId="289" xr:uid="{00000000-0005-0000-0000-00003C010000}"/>
    <cellStyle name="Currency1 3_ตยครู 55ส่งกรม " xfId="290" xr:uid="{00000000-0005-0000-0000-00003D010000}"/>
    <cellStyle name="Currency1 4" xfId="291" xr:uid="{00000000-0005-0000-0000-00003E010000}"/>
    <cellStyle name="Currency1 4 2" xfId="292" xr:uid="{00000000-0005-0000-0000-00003F010000}"/>
    <cellStyle name="Currency1 4 3" xfId="293" xr:uid="{00000000-0005-0000-0000-000040010000}"/>
    <cellStyle name="Currency1 4 4" xfId="294" xr:uid="{00000000-0005-0000-0000-000041010000}"/>
    <cellStyle name="Currency1 4 5" xfId="295" xr:uid="{00000000-0005-0000-0000-000042010000}"/>
    <cellStyle name="Currency1 4_ตยครู 55ส่งกรม " xfId="296" xr:uid="{00000000-0005-0000-0000-000043010000}"/>
    <cellStyle name="Currency1 5" xfId="297" xr:uid="{00000000-0005-0000-0000-000044010000}"/>
    <cellStyle name="Currency1 5 2" xfId="298" xr:uid="{00000000-0005-0000-0000-000045010000}"/>
    <cellStyle name="Currency1 5 3" xfId="299" xr:uid="{00000000-0005-0000-0000-000046010000}"/>
    <cellStyle name="Currency1 5 4" xfId="300" xr:uid="{00000000-0005-0000-0000-000047010000}"/>
    <cellStyle name="Currency1 5 5" xfId="301" xr:uid="{00000000-0005-0000-0000-000048010000}"/>
    <cellStyle name="Currency1 5_ตยครู 55ส่งกรม " xfId="302" xr:uid="{00000000-0005-0000-0000-000049010000}"/>
    <cellStyle name="Currency1 6" xfId="303" xr:uid="{00000000-0005-0000-0000-00004A010000}"/>
    <cellStyle name="Currency1 7" xfId="304" xr:uid="{00000000-0005-0000-0000-00004B010000}"/>
    <cellStyle name="Currency1_Sheet1" xfId="305" xr:uid="{00000000-0005-0000-0000-00004C010000}"/>
    <cellStyle name="Date" xfId="306" xr:uid="{00000000-0005-0000-0000-00004D010000}"/>
    <cellStyle name="Dollar (zero dec)" xfId="307" xr:uid="{00000000-0005-0000-0000-00004E010000}"/>
    <cellStyle name="Dollar (zero dec) 2" xfId="308" xr:uid="{00000000-0005-0000-0000-00004F010000}"/>
    <cellStyle name="Dollar (zero dec) 2 2" xfId="309" xr:uid="{00000000-0005-0000-0000-000050010000}"/>
    <cellStyle name="Dollar (zero dec) 2 3" xfId="310" xr:uid="{00000000-0005-0000-0000-000051010000}"/>
    <cellStyle name="Dollar (zero dec) 2 4" xfId="311" xr:uid="{00000000-0005-0000-0000-000052010000}"/>
    <cellStyle name="Dollar (zero dec) 2 5" xfId="312" xr:uid="{00000000-0005-0000-0000-000053010000}"/>
    <cellStyle name="Dollar (zero dec) 2_ตยครู 55ส่งกรม " xfId="313" xr:uid="{00000000-0005-0000-0000-000054010000}"/>
    <cellStyle name="Dollar (zero dec) 3" xfId="314" xr:uid="{00000000-0005-0000-0000-000055010000}"/>
    <cellStyle name="Dollar (zero dec) 3 2" xfId="315" xr:uid="{00000000-0005-0000-0000-000056010000}"/>
    <cellStyle name="Dollar (zero dec) 3 3" xfId="316" xr:uid="{00000000-0005-0000-0000-000057010000}"/>
    <cellStyle name="Dollar (zero dec) 3 4" xfId="317" xr:uid="{00000000-0005-0000-0000-000058010000}"/>
    <cellStyle name="Dollar (zero dec) 3 5" xfId="318" xr:uid="{00000000-0005-0000-0000-000059010000}"/>
    <cellStyle name="Dollar (zero dec) 3_ตยครู 55ส่งกรม " xfId="319" xr:uid="{00000000-0005-0000-0000-00005A010000}"/>
    <cellStyle name="Dollar (zero dec) 4" xfId="320" xr:uid="{00000000-0005-0000-0000-00005B010000}"/>
    <cellStyle name="Dollar (zero dec) 4 2" xfId="321" xr:uid="{00000000-0005-0000-0000-00005C010000}"/>
    <cellStyle name="Dollar (zero dec) 4 3" xfId="322" xr:uid="{00000000-0005-0000-0000-00005D010000}"/>
    <cellStyle name="Dollar (zero dec) 4 4" xfId="323" xr:uid="{00000000-0005-0000-0000-00005E010000}"/>
    <cellStyle name="Dollar (zero dec) 4 5" xfId="324" xr:uid="{00000000-0005-0000-0000-00005F010000}"/>
    <cellStyle name="Dollar (zero dec) 4_ตยครู 55ส่งกรม " xfId="325" xr:uid="{00000000-0005-0000-0000-000060010000}"/>
    <cellStyle name="Dollar (zero dec) 5" xfId="326" xr:uid="{00000000-0005-0000-0000-000061010000}"/>
    <cellStyle name="Dollar (zero dec) 5 2" xfId="327" xr:uid="{00000000-0005-0000-0000-000062010000}"/>
    <cellStyle name="Dollar (zero dec) 5 3" xfId="328" xr:uid="{00000000-0005-0000-0000-000063010000}"/>
    <cellStyle name="Dollar (zero dec) 5 4" xfId="329" xr:uid="{00000000-0005-0000-0000-000064010000}"/>
    <cellStyle name="Dollar (zero dec) 5 5" xfId="330" xr:uid="{00000000-0005-0000-0000-000065010000}"/>
    <cellStyle name="Dollar (zero dec) 5_ตยครู 55ส่งกรม " xfId="331" xr:uid="{00000000-0005-0000-0000-000066010000}"/>
    <cellStyle name="Dollar (zero dec) 6" xfId="332" xr:uid="{00000000-0005-0000-0000-000067010000}"/>
    <cellStyle name="Dollar (zero dec) 7" xfId="333" xr:uid="{00000000-0005-0000-0000-000068010000}"/>
    <cellStyle name="Dollar (zero dec)_Sheet1" xfId="334" xr:uid="{00000000-0005-0000-0000-000069010000}"/>
    <cellStyle name="Explanatory Text" xfId="467" xr:uid="{00000000-0005-0000-0000-00006A010000}"/>
    <cellStyle name="Fixed" xfId="335" xr:uid="{00000000-0005-0000-0000-00006B010000}"/>
    <cellStyle name="Good" xfId="508" xr:uid="{00000000-0005-0000-0000-00006C010000}"/>
    <cellStyle name="Grey" xfId="336" xr:uid="{00000000-0005-0000-0000-00006D010000}"/>
    <cellStyle name="Heading 1" xfId="678" xr:uid="{00000000-0005-0000-0000-00006E010000}"/>
    <cellStyle name="Heading 2" xfId="687" xr:uid="{00000000-0005-0000-0000-00006F010000}"/>
    <cellStyle name="Heading 3" xfId="696" xr:uid="{00000000-0005-0000-0000-000070010000}"/>
    <cellStyle name="Heading 4" xfId="705" xr:uid="{00000000-0005-0000-0000-000071010000}"/>
    <cellStyle name="HEADING1" xfId="337" xr:uid="{00000000-0005-0000-0000-000072010000}"/>
    <cellStyle name="HEADING2" xfId="338" xr:uid="{00000000-0005-0000-0000-000073010000}"/>
    <cellStyle name="Input" xfId="560" xr:uid="{00000000-0005-0000-0000-000074010000}"/>
    <cellStyle name="Input [yellow]" xfId="339" xr:uid="{00000000-0005-0000-0000-000075010000}"/>
    <cellStyle name="Input_5302" xfId="340" xr:uid="{00000000-0005-0000-0000-000076010000}"/>
    <cellStyle name="Linked Cell" xfId="507" xr:uid="{00000000-0005-0000-0000-000077010000}"/>
    <cellStyle name="Neutral" xfId="569" xr:uid="{00000000-0005-0000-0000-000078010000}"/>
    <cellStyle name="no dec" xfId="341" xr:uid="{00000000-0005-0000-0000-000079010000}"/>
    <cellStyle name="Normal" xfId="0" builtinId="0"/>
    <cellStyle name="Normal - Style1" xfId="342" xr:uid="{00000000-0005-0000-0000-00007A010000}"/>
    <cellStyle name="Normal 2" xfId="343" xr:uid="{00000000-0005-0000-0000-00007B010000}"/>
    <cellStyle name="Normal 3" xfId="344" xr:uid="{00000000-0005-0000-0000-00007C010000}"/>
    <cellStyle name="Note" xfId="659" xr:uid="{00000000-0005-0000-0000-00007E010000}"/>
    <cellStyle name="Note 10" xfId="345" xr:uid="{00000000-0005-0000-0000-00007F010000}"/>
    <cellStyle name="Note 11" xfId="346" xr:uid="{00000000-0005-0000-0000-000080010000}"/>
    <cellStyle name="Note 12" xfId="347" xr:uid="{00000000-0005-0000-0000-000081010000}"/>
    <cellStyle name="Note 13" xfId="348" xr:uid="{00000000-0005-0000-0000-000082010000}"/>
    <cellStyle name="Note 2" xfId="349" xr:uid="{00000000-0005-0000-0000-000083010000}"/>
    <cellStyle name="Note 2 10" xfId="350" xr:uid="{00000000-0005-0000-0000-000084010000}"/>
    <cellStyle name="Note 2 11" xfId="351" xr:uid="{00000000-0005-0000-0000-000085010000}"/>
    <cellStyle name="Note 2 2" xfId="352" xr:uid="{00000000-0005-0000-0000-000086010000}"/>
    <cellStyle name="Note 2 3" xfId="353" xr:uid="{00000000-0005-0000-0000-000087010000}"/>
    <cellStyle name="Note 2 4" xfId="354" xr:uid="{00000000-0005-0000-0000-000088010000}"/>
    <cellStyle name="Note 2 5" xfId="355" xr:uid="{00000000-0005-0000-0000-000089010000}"/>
    <cellStyle name="Note 2 6" xfId="356" xr:uid="{00000000-0005-0000-0000-00008A010000}"/>
    <cellStyle name="Note 2 7" xfId="357" xr:uid="{00000000-0005-0000-0000-00008B010000}"/>
    <cellStyle name="Note 2 8" xfId="358" xr:uid="{00000000-0005-0000-0000-00008C010000}"/>
    <cellStyle name="Note 2 9" xfId="359" xr:uid="{00000000-0005-0000-0000-00008D010000}"/>
    <cellStyle name="Note 2_คำนวนเวลา" xfId="360" xr:uid="{00000000-0005-0000-0000-00008E010000}"/>
    <cellStyle name="Note 3" xfId="361" xr:uid="{00000000-0005-0000-0000-00008F010000}"/>
    <cellStyle name="Note 4" xfId="362" xr:uid="{00000000-0005-0000-0000-000090010000}"/>
    <cellStyle name="Note 5" xfId="363" xr:uid="{00000000-0005-0000-0000-000091010000}"/>
    <cellStyle name="Note 6" xfId="364" xr:uid="{00000000-0005-0000-0000-000092010000}"/>
    <cellStyle name="Note 7" xfId="365" xr:uid="{00000000-0005-0000-0000-000093010000}"/>
    <cellStyle name="Note 8" xfId="366" xr:uid="{00000000-0005-0000-0000-000094010000}"/>
    <cellStyle name="Note 9" xfId="367" xr:uid="{00000000-0005-0000-0000-000095010000}"/>
    <cellStyle name="Note_คำนวณอายุ 622 " xfId="368" xr:uid="{00000000-0005-0000-0000-000096010000}"/>
    <cellStyle name="Output" xfId="650" xr:uid="{00000000-0005-0000-0000-000097010000}"/>
    <cellStyle name="Percent [2]" xfId="369" xr:uid="{00000000-0005-0000-0000-000098010000}"/>
    <cellStyle name="Q" xfId="370" xr:uid="{00000000-0005-0000-0000-000099010000}"/>
    <cellStyle name="Q_ปีนี้" xfId="371" xr:uid="{00000000-0005-0000-0000-00009A010000}"/>
    <cellStyle name="Q_ปีนี้ 10" xfId="372" xr:uid="{00000000-0005-0000-0000-00009B010000}"/>
    <cellStyle name="Q_ปีนี้ 11" xfId="373" xr:uid="{00000000-0005-0000-0000-00009C010000}"/>
    <cellStyle name="Q_ปีนี้ 2" xfId="374" xr:uid="{00000000-0005-0000-0000-00009D010000}"/>
    <cellStyle name="Q_ปีนี้ 3" xfId="375" xr:uid="{00000000-0005-0000-0000-00009E010000}"/>
    <cellStyle name="Q_ปีนี้ 4" xfId="376" xr:uid="{00000000-0005-0000-0000-00009F010000}"/>
    <cellStyle name="Q_ปีนี้ 5" xfId="377" xr:uid="{00000000-0005-0000-0000-0000A0010000}"/>
    <cellStyle name="Q_ปีนี้ 6" xfId="378" xr:uid="{00000000-0005-0000-0000-0000A1010000}"/>
    <cellStyle name="Q_ปีนี้ 7" xfId="379" xr:uid="{00000000-0005-0000-0000-0000A2010000}"/>
    <cellStyle name="Q_ปีนี้ 8" xfId="380" xr:uid="{00000000-0005-0000-0000-0000A3010000}"/>
    <cellStyle name="Q_ปีนี้ 9" xfId="381" xr:uid="{00000000-0005-0000-0000-0000A4010000}"/>
    <cellStyle name="Q_ปีนี้_Sheet1" xfId="382" xr:uid="{00000000-0005-0000-0000-0000A5010000}"/>
    <cellStyle name="Q_ปีนี้_Sheet1_คำนวณวันที่คุรธิติ ปรับสูตร6 ก.พ. 62 " xfId="383" xr:uid="{00000000-0005-0000-0000-0000A6010000}"/>
    <cellStyle name="Q_ปีนี้_Sheet1_คำนวนเวลา" xfId="384" xr:uid="{00000000-0005-0000-0000-0000A7010000}"/>
    <cellStyle name="Q_ปีนี้_Sheet1_คำนวนเวลา (6)" xfId="385" xr:uid="{00000000-0005-0000-0000-0000A8010000}"/>
    <cellStyle name="Q_ปีนี้_Sheet1_นับเวลา วัชรพล Ans" xfId="386" xr:uid="{00000000-0005-0000-0000-0000A9010000}"/>
    <cellStyle name="Q_ปีนี้_Sheet1_ประมวลปี_r1" xfId="387" xr:uid="{00000000-0005-0000-0000-0000AA010000}"/>
    <cellStyle name="Q_ปีนี้_Sheet2" xfId="388" xr:uid="{00000000-0005-0000-0000-0000AB010000}"/>
    <cellStyle name="Q_ปีนี้_ตยครู 55ส่งกรม " xfId="389" xr:uid="{00000000-0005-0000-0000-0000AC010000}"/>
    <cellStyle name="Q_ปีนี้_ทะเบียน38ค (2)" xfId="390" xr:uid="{00000000-0005-0000-0000-0000AD010000}"/>
    <cellStyle name="Q_ปีนี้_ทะเบียน38ค (2)_คำนวณวันที่คุรธิติ ปรับสูตร6 ก.พ. 62 " xfId="391" xr:uid="{00000000-0005-0000-0000-0000AE010000}"/>
    <cellStyle name="Q_ปีนี้_ทะเบียน38ค (2)_คำนวนเวลา" xfId="392" xr:uid="{00000000-0005-0000-0000-0000AF010000}"/>
    <cellStyle name="Q_ปีนี้_ทะเบียน38ค (2)_คำนวนเวลา (6)" xfId="393" xr:uid="{00000000-0005-0000-0000-0000B0010000}"/>
    <cellStyle name="Q_ปีนี้_ทะเบียน38ค (2)_นับเวลา วัชรพล Ans" xfId="394" xr:uid="{00000000-0005-0000-0000-0000B1010000}"/>
    <cellStyle name="Q_ปีนี้_ทะเบียน38ค (2)_ประมวลปี_r1" xfId="395" xr:uid="{00000000-0005-0000-0000-0000B2010000}"/>
    <cellStyle name="Q_ปีนี้_ทะเบียนครู (2)" xfId="396" xr:uid="{00000000-0005-0000-0000-0000B3010000}"/>
    <cellStyle name="Q_ปีนี้_ทะเบียนครู (2)_คำนวณวันที่คุรธิติ ปรับสูตร6 ก.พ. 62 " xfId="397" xr:uid="{00000000-0005-0000-0000-0000B4010000}"/>
    <cellStyle name="Q_ปีนี้_ทะเบียนครู (2)_คำนวนเวลา" xfId="398" xr:uid="{00000000-0005-0000-0000-0000B5010000}"/>
    <cellStyle name="Q_ปีนี้_ทะเบียนครู (2)_คำนวนเวลา (6)" xfId="399" xr:uid="{00000000-0005-0000-0000-0000B6010000}"/>
    <cellStyle name="Q_ปีนี้_ทะเบียนครู (2)_นับเวลา วัชรพล Ans" xfId="400" xr:uid="{00000000-0005-0000-0000-0000B7010000}"/>
    <cellStyle name="Q_ปีนี้_ทะเบียนครู (2)_ประมวลปี_r1" xfId="401" xr:uid="{00000000-0005-0000-0000-0000B8010000}"/>
    <cellStyle name="Q_ปีนี้_สรุป38ค" xfId="402" xr:uid="{00000000-0005-0000-0000-0000B9010000}"/>
    <cellStyle name="Q_ปีนี้_สรุป38ค_คำนวณวันที่คุรธิติ ปรับสูตร6 ก.พ. 62 " xfId="403" xr:uid="{00000000-0005-0000-0000-0000BA010000}"/>
    <cellStyle name="Q_ปีนี้_สรุป38ค_คำนวนเวลา" xfId="404" xr:uid="{00000000-0005-0000-0000-0000BB010000}"/>
    <cellStyle name="Q_ปีนี้_สรุป38ค_คำนวนเวลา (6)" xfId="405" xr:uid="{00000000-0005-0000-0000-0000BC010000}"/>
    <cellStyle name="Q_ปีนี้_สรุป38ค_นับเวลา วัชรพล Ans" xfId="406" xr:uid="{00000000-0005-0000-0000-0000BD010000}"/>
    <cellStyle name="Q_ปีนี้_สรุป38ค_ประมวลปี_r1" xfId="407" xr:uid="{00000000-0005-0000-0000-0000BE010000}"/>
    <cellStyle name="Quantity" xfId="408" xr:uid="{00000000-0005-0000-0000-0000BF010000}"/>
    <cellStyle name="small border line" xfId="409" xr:uid="{00000000-0005-0000-0000-0000C0010000}"/>
    <cellStyle name="Title" xfId="479" xr:uid="{00000000-0005-0000-0000-0000C1010000}"/>
    <cellStyle name="Total" xfId="578" xr:uid="{00000000-0005-0000-0000-0000C2010000}"/>
    <cellStyle name="TU" xfId="410" xr:uid="{00000000-0005-0000-0000-0000C3010000}"/>
    <cellStyle name="W" xfId="411" xr:uid="{00000000-0005-0000-0000-0000C4010000}"/>
    <cellStyle name="W_ปีนี้" xfId="412" xr:uid="{00000000-0005-0000-0000-0000C5010000}"/>
    <cellStyle name="W_ปีนี้ 10" xfId="413" xr:uid="{00000000-0005-0000-0000-0000C6010000}"/>
    <cellStyle name="W_ปีนี้ 11" xfId="414" xr:uid="{00000000-0005-0000-0000-0000C7010000}"/>
    <cellStyle name="W_ปีนี้ 2" xfId="415" xr:uid="{00000000-0005-0000-0000-0000C8010000}"/>
    <cellStyle name="W_ปีนี้ 3" xfId="416" xr:uid="{00000000-0005-0000-0000-0000C9010000}"/>
    <cellStyle name="W_ปีนี้ 4" xfId="417" xr:uid="{00000000-0005-0000-0000-0000CA010000}"/>
    <cellStyle name="W_ปีนี้ 5" xfId="418" xr:uid="{00000000-0005-0000-0000-0000CB010000}"/>
    <cellStyle name="W_ปีนี้ 6" xfId="419" xr:uid="{00000000-0005-0000-0000-0000CC010000}"/>
    <cellStyle name="W_ปีนี้ 7" xfId="420" xr:uid="{00000000-0005-0000-0000-0000CD010000}"/>
    <cellStyle name="W_ปีนี้ 8" xfId="421" xr:uid="{00000000-0005-0000-0000-0000CE010000}"/>
    <cellStyle name="W_ปีนี้ 9" xfId="422" xr:uid="{00000000-0005-0000-0000-0000CF010000}"/>
    <cellStyle name="W_ปีนี้_Sheet1" xfId="423" xr:uid="{00000000-0005-0000-0000-0000D0010000}"/>
    <cellStyle name="W_ปีนี้_Sheet1_คำนวณวันที่คุรธิติ ปรับสูตร6 ก.พ. 62 " xfId="424" xr:uid="{00000000-0005-0000-0000-0000D1010000}"/>
    <cellStyle name="W_ปีนี้_Sheet1_คำนวนเวลา" xfId="425" xr:uid="{00000000-0005-0000-0000-0000D2010000}"/>
    <cellStyle name="W_ปีนี้_Sheet1_คำนวนเวลา (6)" xfId="426" xr:uid="{00000000-0005-0000-0000-0000D3010000}"/>
    <cellStyle name="W_ปีนี้_Sheet1_นับเวลา วัชรพล Ans" xfId="427" xr:uid="{00000000-0005-0000-0000-0000D4010000}"/>
    <cellStyle name="W_ปีนี้_Sheet1_ประมวลปี_r1" xfId="428" xr:uid="{00000000-0005-0000-0000-0000D5010000}"/>
    <cellStyle name="W_ปีนี้_Sheet2" xfId="429" xr:uid="{00000000-0005-0000-0000-0000D6010000}"/>
    <cellStyle name="W_ปีนี้_ตยครู 55ส่งกรม " xfId="430" xr:uid="{00000000-0005-0000-0000-0000D7010000}"/>
    <cellStyle name="W_ปีนี้_ทะเบียน38ค (2)" xfId="431" xr:uid="{00000000-0005-0000-0000-0000D8010000}"/>
    <cellStyle name="W_ปีนี้_ทะเบียน38ค (2)_คำนวณวันที่คุรธิติ ปรับสูตร6 ก.พ. 62 " xfId="432" xr:uid="{00000000-0005-0000-0000-0000D9010000}"/>
    <cellStyle name="W_ปีนี้_ทะเบียน38ค (2)_คำนวนเวลา" xfId="433" xr:uid="{00000000-0005-0000-0000-0000DA010000}"/>
    <cellStyle name="W_ปีนี้_ทะเบียน38ค (2)_คำนวนเวลา (6)" xfId="434" xr:uid="{00000000-0005-0000-0000-0000DB010000}"/>
    <cellStyle name="W_ปีนี้_ทะเบียน38ค (2)_นับเวลา วัชรพล Ans" xfId="435" xr:uid="{00000000-0005-0000-0000-0000DC010000}"/>
    <cellStyle name="W_ปีนี้_ทะเบียน38ค (2)_ประมวลปี_r1" xfId="436" xr:uid="{00000000-0005-0000-0000-0000DD010000}"/>
    <cellStyle name="W_ปีนี้_ทะเบียนครู (2)" xfId="437" xr:uid="{00000000-0005-0000-0000-0000DE010000}"/>
    <cellStyle name="W_ปีนี้_ทะเบียนครู (2)_คำนวณวันที่คุรธิติ ปรับสูตร6 ก.พ. 62 " xfId="438" xr:uid="{00000000-0005-0000-0000-0000DF010000}"/>
    <cellStyle name="W_ปีนี้_ทะเบียนครู (2)_คำนวนเวลา" xfId="439" xr:uid="{00000000-0005-0000-0000-0000E0010000}"/>
    <cellStyle name="W_ปีนี้_ทะเบียนครู (2)_คำนวนเวลา (6)" xfId="440" xr:uid="{00000000-0005-0000-0000-0000E1010000}"/>
    <cellStyle name="W_ปีนี้_ทะเบียนครู (2)_นับเวลา วัชรพล Ans" xfId="441" xr:uid="{00000000-0005-0000-0000-0000E2010000}"/>
    <cellStyle name="W_ปีนี้_ทะเบียนครู (2)_ประมวลปี_r1" xfId="442" xr:uid="{00000000-0005-0000-0000-0000E3010000}"/>
    <cellStyle name="W_ปีนี้_สรุป38ค" xfId="443" xr:uid="{00000000-0005-0000-0000-0000E4010000}"/>
    <cellStyle name="W_ปีนี้_สรุป38ค_คำนวณวันที่คุรธิติ ปรับสูตร6 ก.พ. 62 " xfId="444" xr:uid="{00000000-0005-0000-0000-0000E5010000}"/>
    <cellStyle name="W_ปีนี้_สรุป38ค_คำนวนเวลา" xfId="445" xr:uid="{00000000-0005-0000-0000-0000E6010000}"/>
    <cellStyle name="W_ปีนี้_สรุป38ค_คำนวนเวลา (6)" xfId="446" xr:uid="{00000000-0005-0000-0000-0000E7010000}"/>
    <cellStyle name="W_ปีนี้_สรุป38ค_นับเวลา วัชรพล Ans" xfId="447" xr:uid="{00000000-0005-0000-0000-0000E8010000}"/>
    <cellStyle name="W_ปีนี้_สรุป38ค_ประมวลปี_r1" xfId="448" xr:uid="{00000000-0005-0000-0000-0000E9010000}"/>
    <cellStyle name="Warning Text" xfId="458" xr:uid="{00000000-0005-0000-0000-0000EA010000}"/>
    <cellStyle name="เครื่องหมายเปอร์เซ็นต์_ไม่ขาว ไม่สวย ไม่หมวย แต่เซ็กซ์" xfId="478" xr:uid="{00000000-0005-0000-0000-000007020000}"/>
    <cellStyle name="เครื่องหมายจุลภาค 2" xfId="477" xr:uid="{00000000-0005-0000-0000-000006020000}"/>
    <cellStyle name="เซลล์ตรวจสอบ 2" xfId="489" xr:uid="{00000000-0005-0000-0000-000013020000}"/>
    <cellStyle name="เซลล์ตรวจสอบ 2 2" xfId="490" xr:uid="{00000000-0005-0000-0000-000014020000}"/>
    <cellStyle name="เซลล์ตรวจสอบ 2 3" xfId="491" xr:uid="{00000000-0005-0000-0000-000015020000}"/>
    <cellStyle name="เซลล์ตรวจสอบ 2 4" xfId="492" xr:uid="{00000000-0005-0000-0000-000016020000}"/>
    <cellStyle name="เซลล์ตรวจสอบ 2_Sheet1" xfId="493" xr:uid="{00000000-0005-0000-0000-000017020000}"/>
    <cellStyle name="เซลล์ตรวจสอบ 3" xfId="494" xr:uid="{00000000-0005-0000-0000-000018020000}"/>
    <cellStyle name="เซลล์ตรวจสอบ 4" xfId="495" xr:uid="{00000000-0005-0000-0000-000019020000}"/>
    <cellStyle name="เซลล์ตรวจสอบ 5" xfId="496" xr:uid="{00000000-0005-0000-0000-00001A020000}"/>
    <cellStyle name="เซลล์ที่มีการเชื่อมโยง" xfId="497" xr:uid="{00000000-0005-0000-0000-00001B020000}"/>
    <cellStyle name="เซลล์ที่มีการเชื่อมโยง 2" xfId="498" xr:uid="{00000000-0005-0000-0000-00001C020000}"/>
    <cellStyle name="เซลล์ที่มีการเชื่อมโยง 2 2" xfId="499" xr:uid="{00000000-0005-0000-0000-00001D020000}"/>
    <cellStyle name="เซลล์ที่มีการเชื่อมโยง 2 3" xfId="500" xr:uid="{00000000-0005-0000-0000-00001E020000}"/>
    <cellStyle name="เซลล์ที่มีการเชื่อมโยง 2 4" xfId="501" xr:uid="{00000000-0005-0000-0000-00001F020000}"/>
    <cellStyle name="เซลล์ที่มีการเชื่อมโยง 2_Sheet1" xfId="502" xr:uid="{00000000-0005-0000-0000-000020020000}"/>
    <cellStyle name="เซลล์ที่มีการเชื่อมโยง 3" xfId="503" xr:uid="{00000000-0005-0000-0000-000021020000}"/>
    <cellStyle name="เซลล์ที่มีการเชื่อมโยง 4" xfId="504" xr:uid="{00000000-0005-0000-0000-000022020000}"/>
    <cellStyle name="เซลล์ที่มีการเชื่อมโยง 5" xfId="505" xr:uid="{00000000-0005-0000-0000-000023020000}"/>
    <cellStyle name="เซลล์ที่มีการเชื่อมโยง_1retireCa 2557 ย้ายบริหาร ทุกครั้ง  25 เมย59" xfId="506" xr:uid="{00000000-0005-0000-0000-000024020000}"/>
    <cellStyle name="แย่ 2" xfId="588" xr:uid="{00000000-0005-0000-0000-000077020000}"/>
    <cellStyle name="แย่ 2 2" xfId="589" xr:uid="{00000000-0005-0000-0000-000078020000}"/>
    <cellStyle name="แย่ 2 3" xfId="590" xr:uid="{00000000-0005-0000-0000-000079020000}"/>
    <cellStyle name="แย่ 2 4" xfId="591" xr:uid="{00000000-0005-0000-0000-00007A020000}"/>
    <cellStyle name="แย่ 2_Sheet1" xfId="592" xr:uid="{00000000-0005-0000-0000-00007B020000}"/>
    <cellStyle name="แย่ 3" xfId="593" xr:uid="{00000000-0005-0000-0000-00007C020000}"/>
    <cellStyle name="แย่ 4" xfId="594" xr:uid="{00000000-0005-0000-0000-00007D020000}"/>
    <cellStyle name="แย่ 5" xfId="595" xr:uid="{00000000-0005-0000-0000-00007E020000}"/>
    <cellStyle name="แสดงผล 2" xfId="651" xr:uid="{00000000-0005-0000-0000-0000B6020000}"/>
    <cellStyle name="แสดงผล 2 2" xfId="652" xr:uid="{00000000-0005-0000-0000-0000B7020000}"/>
    <cellStyle name="แสดงผล 2 3" xfId="653" xr:uid="{00000000-0005-0000-0000-0000B8020000}"/>
    <cellStyle name="แสดงผล 2 4" xfId="654" xr:uid="{00000000-0005-0000-0000-0000B9020000}"/>
    <cellStyle name="แสดงผล 2_Sheet1" xfId="655" xr:uid="{00000000-0005-0000-0000-0000BA020000}"/>
    <cellStyle name="แสดงผล 3" xfId="656" xr:uid="{00000000-0005-0000-0000-0000BB020000}"/>
    <cellStyle name="แสดงผล 4" xfId="657" xr:uid="{00000000-0005-0000-0000-0000BC020000}"/>
    <cellStyle name="แสดงผล 5" xfId="658" xr:uid="{00000000-0005-0000-0000-0000BD020000}"/>
    <cellStyle name="การคำนวณ 2" xfId="450" xr:uid="{00000000-0005-0000-0000-0000EC010000}"/>
    <cellStyle name="การคำนวณ 2 2" xfId="451" xr:uid="{00000000-0005-0000-0000-0000ED010000}"/>
    <cellStyle name="การคำนวณ 2 3" xfId="452" xr:uid="{00000000-0005-0000-0000-0000EE010000}"/>
    <cellStyle name="การคำนวณ 2 4" xfId="453" xr:uid="{00000000-0005-0000-0000-0000EF010000}"/>
    <cellStyle name="การคำนวณ 2_Sheet1" xfId="454" xr:uid="{00000000-0005-0000-0000-0000F0010000}"/>
    <cellStyle name="การคำนวณ 3" xfId="455" xr:uid="{00000000-0005-0000-0000-0000F1010000}"/>
    <cellStyle name="การคำนวณ 4" xfId="456" xr:uid="{00000000-0005-0000-0000-0000F2010000}"/>
    <cellStyle name="การคำนวณ 5" xfId="457" xr:uid="{00000000-0005-0000-0000-0000F3010000}"/>
    <cellStyle name="ข้อความเตือน 2" xfId="459" xr:uid="{00000000-0005-0000-0000-0000F5010000}"/>
    <cellStyle name="ข้อความเตือน 2 2" xfId="460" xr:uid="{00000000-0005-0000-0000-0000F6010000}"/>
    <cellStyle name="ข้อความเตือน 2 3" xfId="461" xr:uid="{00000000-0005-0000-0000-0000F7010000}"/>
    <cellStyle name="ข้อความเตือน 2 4" xfId="462" xr:uid="{00000000-0005-0000-0000-0000F8010000}"/>
    <cellStyle name="ข้อความเตือน 2_Sheet1" xfId="463" xr:uid="{00000000-0005-0000-0000-0000F9010000}"/>
    <cellStyle name="ข้อความเตือน 3" xfId="464" xr:uid="{00000000-0005-0000-0000-0000FA010000}"/>
    <cellStyle name="ข้อความเตือน 4" xfId="465" xr:uid="{00000000-0005-0000-0000-0000FB010000}"/>
    <cellStyle name="ข้อความเตือน 5" xfId="466" xr:uid="{00000000-0005-0000-0000-0000FC010000}"/>
    <cellStyle name="ข้อความอธิบาย 2" xfId="468" xr:uid="{00000000-0005-0000-0000-0000FE010000}"/>
    <cellStyle name="ข้อความอธิบาย 2 2" xfId="469" xr:uid="{00000000-0005-0000-0000-0000FF010000}"/>
    <cellStyle name="ข้อความอธิบาย 2 3" xfId="470" xr:uid="{00000000-0005-0000-0000-000000020000}"/>
    <cellStyle name="ข้อความอธิบาย 2 4" xfId="471" xr:uid="{00000000-0005-0000-0000-000001020000}"/>
    <cellStyle name="ข้อความอธิบาย 2_Sheet1" xfId="472" xr:uid="{00000000-0005-0000-0000-000002020000}"/>
    <cellStyle name="ข้อความอธิบาย 3" xfId="473" xr:uid="{00000000-0005-0000-0000-000003020000}"/>
    <cellStyle name="ข้อความอธิบาย 4" xfId="474" xr:uid="{00000000-0005-0000-0000-000004020000}"/>
    <cellStyle name="ข้อความอธิบาย 5" xfId="475" xr:uid="{00000000-0005-0000-0000-000005020000}"/>
    <cellStyle name="จุลภาค 2" xfId="739" xr:uid="{864C65BC-FEFE-4354-9DF1-FB466ECBA416}"/>
    <cellStyle name="จุลภาค 2 2" xfId="740" xr:uid="{CBF6E527-B25E-4DA4-BACD-A7410F36908C}"/>
    <cellStyle name="ชื่อเรื่อง 2" xfId="480" xr:uid="{00000000-0005-0000-0000-00000A020000}"/>
    <cellStyle name="ชื่อเรื่อง 2 2" xfId="481" xr:uid="{00000000-0005-0000-0000-00000B020000}"/>
    <cellStyle name="ชื่อเรื่อง 2 3" xfId="482" xr:uid="{00000000-0005-0000-0000-00000C020000}"/>
    <cellStyle name="ชื่อเรื่อง 2 4" xfId="483" xr:uid="{00000000-0005-0000-0000-00000D020000}"/>
    <cellStyle name="ชื่อเรื่อง 2_Sheet1" xfId="484" xr:uid="{00000000-0005-0000-0000-00000E020000}"/>
    <cellStyle name="ชื่อเรื่อง 3" xfId="485" xr:uid="{00000000-0005-0000-0000-00000F020000}"/>
    <cellStyle name="ชื่อเรื่อง 4" xfId="486" xr:uid="{00000000-0005-0000-0000-000010020000}"/>
    <cellStyle name="ชื่อเรื่อง 5" xfId="487" xr:uid="{00000000-0005-0000-0000-000011020000}"/>
    <cellStyle name="ดี 2" xfId="509" xr:uid="{00000000-0005-0000-0000-000027020000}"/>
    <cellStyle name="ดี 2 2" xfId="510" xr:uid="{00000000-0005-0000-0000-000028020000}"/>
    <cellStyle name="ดี 2 3" xfId="511" xr:uid="{00000000-0005-0000-0000-000029020000}"/>
    <cellStyle name="ดี 2 4" xfId="512" xr:uid="{00000000-0005-0000-0000-00002A020000}"/>
    <cellStyle name="ดี 2_Sheet1" xfId="513" xr:uid="{00000000-0005-0000-0000-00002B020000}"/>
    <cellStyle name="ดี 3" xfId="514" xr:uid="{00000000-0005-0000-0000-00002C020000}"/>
    <cellStyle name="ดี 4" xfId="515" xr:uid="{00000000-0005-0000-0000-00002D020000}"/>
    <cellStyle name="ดี 5" xfId="516" xr:uid="{00000000-0005-0000-0000-00002E020000}"/>
    <cellStyle name="ปกติ 10" xfId="517" xr:uid="{00000000-0005-0000-0000-000030020000}"/>
    <cellStyle name="ปกติ 11" xfId="518" xr:uid="{00000000-0005-0000-0000-000031020000}"/>
    <cellStyle name="ปกติ 12" xfId="519" xr:uid="{00000000-0005-0000-0000-000032020000}"/>
    <cellStyle name="ปกติ 13" xfId="520" xr:uid="{00000000-0005-0000-0000-000033020000}"/>
    <cellStyle name="ปกติ 14" xfId="521" xr:uid="{00000000-0005-0000-0000-000034020000}"/>
    <cellStyle name="ปกติ 15" xfId="522" xr:uid="{00000000-0005-0000-0000-000035020000}"/>
    <cellStyle name="ปกติ 16" xfId="523" xr:uid="{00000000-0005-0000-0000-000036020000}"/>
    <cellStyle name="ปกติ 17" xfId="738" xr:uid="{12E045AA-3A9D-42F3-ADE6-5C87072046EE}"/>
    <cellStyle name="ปกติ 2" xfId="524" xr:uid="{00000000-0005-0000-0000-000037020000}"/>
    <cellStyle name="ปกติ 2 2" xfId="525" xr:uid="{00000000-0005-0000-0000-000038020000}"/>
    <cellStyle name="ปกติ 2 2 9" xfId="737" xr:uid="{6B5C4FC2-FA63-4740-8B52-99BF1D66B1CE}"/>
    <cellStyle name="ปกติ 2_Sheet1" xfId="526" xr:uid="{00000000-0005-0000-0000-000039020000}"/>
    <cellStyle name="ปกติ 3" xfId="527" xr:uid="{00000000-0005-0000-0000-00003A020000}"/>
    <cellStyle name="ปกติ 4" xfId="528" xr:uid="{00000000-0005-0000-0000-00003B020000}"/>
    <cellStyle name="ปกติ 4 10" xfId="529" xr:uid="{00000000-0005-0000-0000-00003C020000}"/>
    <cellStyle name="ปกติ 4 11" xfId="530" xr:uid="{00000000-0005-0000-0000-00003D020000}"/>
    <cellStyle name="ปกติ 4 12" xfId="531" xr:uid="{00000000-0005-0000-0000-00003E020000}"/>
    <cellStyle name="ปกติ 4 13" xfId="532" xr:uid="{00000000-0005-0000-0000-00003F020000}"/>
    <cellStyle name="ปกติ 4 14" xfId="533" xr:uid="{00000000-0005-0000-0000-000040020000}"/>
    <cellStyle name="ปกติ 4 2" xfId="534" xr:uid="{00000000-0005-0000-0000-000041020000}"/>
    <cellStyle name="ปกติ 4 3" xfId="535" xr:uid="{00000000-0005-0000-0000-000042020000}"/>
    <cellStyle name="ปกติ 4 4" xfId="536" xr:uid="{00000000-0005-0000-0000-000043020000}"/>
    <cellStyle name="ปกติ 4 5" xfId="537" xr:uid="{00000000-0005-0000-0000-000044020000}"/>
    <cellStyle name="ปกติ 4 6" xfId="538" xr:uid="{00000000-0005-0000-0000-000045020000}"/>
    <cellStyle name="ปกติ 4 7" xfId="539" xr:uid="{00000000-0005-0000-0000-000046020000}"/>
    <cellStyle name="ปกติ 4 8" xfId="540" xr:uid="{00000000-0005-0000-0000-000047020000}"/>
    <cellStyle name="ปกติ 4 9" xfId="541" xr:uid="{00000000-0005-0000-0000-000048020000}"/>
    <cellStyle name="ปกติ 4_0000000saving money2562 useonly " xfId="542" xr:uid="{00000000-0005-0000-0000-000049020000}"/>
    <cellStyle name="ปกติ 5" xfId="543" xr:uid="{00000000-0005-0000-0000-00004A020000}"/>
    <cellStyle name="ปกติ 6" xfId="544" xr:uid="{00000000-0005-0000-0000-00004B020000}"/>
    <cellStyle name="ปกติ 6 2" xfId="545" xr:uid="{00000000-0005-0000-0000-00004C020000}"/>
    <cellStyle name="ปกติ 6 3" xfId="546" xr:uid="{00000000-0005-0000-0000-00004D020000}"/>
    <cellStyle name="ปกติ 6 4" xfId="547" xr:uid="{00000000-0005-0000-0000-00004E020000}"/>
    <cellStyle name="ปกติ 6_Sheet1" xfId="548" xr:uid="{00000000-0005-0000-0000-00004F020000}"/>
    <cellStyle name="ปกติ 7" xfId="549" xr:uid="{00000000-0005-0000-0000-000050020000}"/>
    <cellStyle name="ปกติ 8" xfId="550" xr:uid="{00000000-0005-0000-0000-000051020000}"/>
    <cellStyle name="ปกติ 8 2" xfId="551" xr:uid="{00000000-0005-0000-0000-000052020000}"/>
    <cellStyle name="ปกติ 8 3" xfId="552" xr:uid="{00000000-0005-0000-0000-000053020000}"/>
    <cellStyle name="ปกติ 8 4" xfId="553" xr:uid="{00000000-0005-0000-0000-000054020000}"/>
    <cellStyle name="ปกติ 8 5" xfId="554" xr:uid="{00000000-0005-0000-0000-000055020000}"/>
    <cellStyle name="ปกติ 8 6" xfId="555" xr:uid="{00000000-0005-0000-0000-000056020000}"/>
    <cellStyle name="ปกติ 8 7" xfId="556" xr:uid="{00000000-0005-0000-0000-000057020000}"/>
    <cellStyle name="ปกติ 8 8" xfId="557" xr:uid="{00000000-0005-0000-0000-000058020000}"/>
    <cellStyle name="ปกติ 8_0000000saving money2562 useonly " xfId="558" xr:uid="{00000000-0005-0000-0000-000059020000}"/>
    <cellStyle name="ปกติ 9" xfId="559" xr:uid="{00000000-0005-0000-0000-00005A020000}"/>
    <cellStyle name="ป้อนค่า 2" xfId="561" xr:uid="{00000000-0005-0000-0000-00005C020000}"/>
    <cellStyle name="ป้อนค่า 2 2" xfId="562" xr:uid="{00000000-0005-0000-0000-00005D020000}"/>
    <cellStyle name="ป้อนค่า 2 3" xfId="563" xr:uid="{00000000-0005-0000-0000-00005E020000}"/>
    <cellStyle name="ป้อนค่า 2 4" xfId="564" xr:uid="{00000000-0005-0000-0000-00005F020000}"/>
    <cellStyle name="ป้อนค่า 2_Sheet1" xfId="565" xr:uid="{00000000-0005-0000-0000-000060020000}"/>
    <cellStyle name="ป้อนค่า 3" xfId="566" xr:uid="{00000000-0005-0000-0000-000061020000}"/>
    <cellStyle name="ป้อนค่า 4" xfId="567" xr:uid="{00000000-0005-0000-0000-000062020000}"/>
    <cellStyle name="ป้อนค่า 5" xfId="568" xr:uid="{00000000-0005-0000-0000-000063020000}"/>
    <cellStyle name="ปานกลาง 2" xfId="570" xr:uid="{00000000-0005-0000-0000-000065020000}"/>
    <cellStyle name="ปานกลาง 2 2" xfId="571" xr:uid="{00000000-0005-0000-0000-000066020000}"/>
    <cellStyle name="ปานกลาง 2 3" xfId="572" xr:uid="{00000000-0005-0000-0000-000067020000}"/>
    <cellStyle name="ปานกลาง 2 4" xfId="573" xr:uid="{00000000-0005-0000-0000-000068020000}"/>
    <cellStyle name="ปานกลาง 2_Sheet1" xfId="574" xr:uid="{00000000-0005-0000-0000-000069020000}"/>
    <cellStyle name="ปานกลาง 3" xfId="575" xr:uid="{00000000-0005-0000-0000-00006A020000}"/>
    <cellStyle name="ปานกลาง 4" xfId="576" xr:uid="{00000000-0005-0000-0000-00006B020000}"/>
    <cellStyle name="ปานกลาง 5" xfId="577" xr:uid="{00000000-0005-0000-0000-00006C020000}"/>
    <cellStyle name="ผลรวม 2" xfId="579" xr:uid="{00000000-0005-0000-0000-00006E020000}"/>
    <cellStyle name="ผลรวม 2 2" xfId="580" xr:uid="{00000000-0005-0000-0000-00006F020000}"/>
    <cellStyle name="ผลรวม 2 3" xfId="581" xr:uid="{00000000-0005-0000-0000-000070020000}"/>
    <cellStyle name="ผลรวม 2 4" xfId="582" xr:uid="{00000000-0005-0000-0000-000071020000}"/>
    <cellStyle name="ผลรวม 2_Sheet1" xfId="583" xr:uid="{00000000-0005-0000-0000-000072020000}"/>
    <cellStyle name="ผลรวม 3" xfId="584" xr:uid="{00000000-0005-0000-0000-000073020000}"/>
    <cellStyle name="ผลรวม 4" xfId="585" xr:uid="{00000000-0005-0000-0000-000074020000}"/>
    <cellStyle name="ผลรวม 5" xfId="586" xr:uid="{00000000-0005-0000-0000-000075020000}"/>
    <cellStyle name="ส่วนที่ถูกเน้น1 2" xfId="597" xr:uid="{00000000-0005-0000-0000-000080020000}"/>
    <cellStyle name="ส่วนที่ถูกเน้น1 2 2" xfId="598" xr:uid="{00000000-0005-0000-0000-000081020000}"/>
    <cellStyle name="ส่วนที่ถูกเน้น1 2 3" xfId="599" xr:uid="{00000000-0005-0000-0000-000082020000}"/>
    <cellStyle name="ส่วนที่ถูกเน้น1 2 4" xfId="600" xr:uid="{00000000-0005-0000-0000-000083020000}"/>
    <cellStyle name="ส่วนที่ถูกเน้น1 2_Sheet1" xfId="601" xr:uid="{00000000-0005-0000-0000-000084020000}"/>
    <cellStyle name="ส่วนที่ถูกเน้น1 3" xfId="602" xr:uid="{00000000-0005-0000-0000-000085020000}"/>
    <cellStyle name="ส่วนที่ถูกเน้น1 4" xfId="603" xr:uid="{00000000-0005-0000-0000-000086020000}"/>
    <cellStyle name="ส่วนที่ถูกเน้น1 5" xfId="604" xr:uid="{00000000-0005-0000-0000-000087020000}"/>
    <cellStyle name="ส่วนที่ถูกเน้น2 2" xfId="606" xr:uid="{00000000-0005-0000-0000-000089020000}"/>
    <cellStyle name="ส่วนที่ถูกเน้น2 2 2" xfId="607" xr:uid="{00000000-0005-0000-0000-00008A020000}"/>
    <cellStyle name="ส่วนที่ถูกเน้น2 2 3" xfId="608" xr:uid="{00000000-0005-0000-0000-00008B020000}"/>
    <cellStyle name="ส่วนที่ถูกเน้น2 2 4" xfId="609" xr:uid="{00000000-0005-0000-0000-00008C020000}"/>
    <cellStyle name="ส่วนที่ถูกเน้น2 2_Sheet1" xfId="610" xr:uid="{00000000-0005-0000-0000-00008D020000}"/>
    <cellStyle name="ส่วนที่ถูกเน้น2 3" xfId="611" xr:uid="{00000000-0005-0000-0000-00008E020000}"/>
    <cellStyle name="ส่วนที่ถูกเน้น2 4" xfId="612" xr:uid="{00000000-0005-0000-0000-00008F020000}"/>
    <cellStyle name="ส่วนที่ถูกเน้น2 5" xfId="613" xr:uid="{00000000-0005-0000-0000-000090020000}"/>
    <cellStyle name="ส่วนที่ถูกเน้น3 2" xfId="615" xr:uid="{00000000-0005-0000-0000-000092020000}"/>
    <cellStyle name="ส่วนที่ถูกเน้น3 2 2" xfId="616" xr:uid="{00000000-0005-0000-0000-000093020000}"/>
    <cellStyle name="ส่วนที่ถูกเน้น3 2 3" xfId="617" xr:uid="{00000000-0005-0000-0000-000094020000}"/>
    <cellStyle name="ส่วนที่ถูกเน้น3 2 4" xfId="618" xr:uid="{00000000-0005-0000-0000-000095020000}"/>
    <cellStyle name="ส่วนที่ถูกเน้น3 2_Sheet1" xfId="619" xr:uid="{00000000-0005-0000-0000-000096020000}"/>
    <cellStyle name="ส่วนที่ถูกเน้น3 3" xfId="620" xr:uid="{00000000-0005-0000-0000-000097020000}"/>
    <cellStyle name="ส่วนที่ถูกเน้น3 4" xfId="621" xr:uid="{00000000-0005-0000-0000-000098020000}"/>
    <cellStyle name="ส่วนที่ถูกเน้น3 5" xfId="622" xr:uid="{00000000-0005-0000-0000-000099020000}"/>
    <cellStyle name="ส่วนที่ถูกเน้น4 2" xfId="624" xr:uid="{00000000-0005-0000-0000-00009B020000}"/>
    <cellStyle name="ส่วนที่ถูกเน้น4 2 2" xfId="625" xr:uid="{00000000-0005-0000-0000-00009C020000}"/>
    <cellStyle name="ส่วนที่ถูกเน้น4 2 3" xfId="626" xr:uid="{00000000-0005-0000-0000-00009D020000}"/>
    <cellStyle name="ส่วนที่ถูกเน้น4 2 4" xfId="627" xr:uid="{00000000-0005-0000-0000-00009E020000}"/>
    <cellStyle name="ส่วนที่ถูกเน้น4 2_Sheet1" xfId="628" xr:uid="{00000000-0005-0000-0000-00009F020000}"/>
    <cellStyle name="ส่วนที่ถูกเน้น4 3" xfId="629" xr:uid="{00000000-0005-0000-0000-0000A0020000}"/>
    <cellStyle name="ส่วนที่ถูกเน้น4 4" xfId="630" xr:uid="{00000000-0005-0000-0000-0000A1020000}"/>
    <cellStyle name="ส่วนที่ถูกเน้น4 5" xfId="631" xr:uid="{00000000-0005-0000-0000-0000A2020000}"/>
    <cellStyle name="ส่วนที่ถูกเน้น5 2" xfId="633" xr:uid="{00000000-0005-0000-0000-0000A4020000}"/>
    <cellStyle name="ส่วนที่ถูกเน้น5 2 2" xfId="634" xr:uid="{00000000-0005-0000-0000-0000A5020000}"/>
    <cellStyle name="ส่วนที่ถูกเน้น5 2 3" xfId="635" xr:uid="{00000000-0005-0000-0000-0000A6020000}"/>
    <cellStyle name="ส่วนที่ถูกเน้น5 2 4" xfId="636" xr:uid="{00000000-0005-0000-0000-0000A7020000}"/>
    <cellStyle name="ส่วนที่ถูกเน้น5 2_Sheet1" xfId="637" xr:uid="{00000000-0005-0000-0000-0000A8020000}"/>
    <cellStyle name="ส่วนที่ถูกเน้น5 3" xfId="638" xr:uid="{00000000-0005-0000-0000-0000A9020000}"/>
    <cellStyle name="ส่วนที่ถูกเน้น5 4" xfId="639" xr:uid="{00000000-0005-0000-0000-0000AA020000}"/>
    <cellStyle name="ส่วนที่ถูกเน้น5 5" xfId="640" xr:uid="{00000000-0005-0000-0000-0000AB020000}"/>
    <cellStyle name="ส่วนที่ถูกเน้น6 2" xfId="642" xr:uid="{00000000-0005-0000-0000-0000AD020000}"/>
    <cellStyle name="ส่วนที่ถูกเน้น6 2 2" xfId="643" xr:uid="{00000000-0005-0000-0000-0000AE020000}"/>
    <cellStyle name="ส่วนที่ถูกเน้น6 2 3" xfId="644" xr:uid="{00000000-0005-0000-0000-0000AF020000}"/>
    <cellStyle name="ส่วนที่ถูกเน้น6 2 4" xfId="645" xr:uid="{00000000-0005-0000-0000-0000B0020000}"/>
    <cellStyle name="ส่วนที่ถูกเน้น6 2_Sheet1" xfId="646" xr:uid="{00000000-0005-0000-0000-0000B1020000}"/>
    <cellStyle name="ส่วนที่ถูกเน้น6 3" xfId="647" xr:uid="{00000000-0005-0000-0000-0000B2020000}"/>
    <cellStyle name="ส่วนที่ถูกเน้น6 4" xfId="648" xr:uid="{00000000-0005-0000-0000-0000B3020000}"/>
    <cellStyle name="ส่วนที่ถูกเน้น6 5" xfId="649" xr:uid="{00000000-0005-0000-0000-0000B4020000}"/>
    <cellStyle name="หมายเหตุ 2" xfId="660" xr:uid="{00000000-0005-0000-0000-0000BF020000}"/>
    <cellStyle name="หมายเหตุ 2 10" xfId="661" xr:uid="{00000000-0005-0000-0000-0000C0020000}"/>
    <cellStyle name="หมายเหตุ 2 11" xfId="662" xr:uid="{00000000-0005-0000-0000-0000C1020000}"/>
    <cellStyle name="หมายเหตุ 2 2" xfId="663" xr:uid="{00000000-0005-0000-0000-0000C2020000}"/>
    <cellStyle name="หมายเหตุ 2 2 2" xfId="664" xr:uid="{00000000-0005-0000-0000-0000C3020000}"/>
    <cellStyle name="หมายเหตุ 2 2 3" xfId="665" xr:uid="{00000000-0005-0000-0000-0000C4020000}"/>
    <cellStyle name="หมายเหตุ 2 2_คำนวนเวลา" xfId="666" xr:uid="{00000000-0005-0000-0000-0000C5020000}"/>
    <cellStyle name="หมายเหตุ 2 3" xfId="667" xr:uid="{00000000-0005-0000-0000-0000C6020000}"/>
    <cellStyle name="หมายเหตุ 2 4" xfId="668" xr:uid="{00000000-0005-0000-0000-0000C7020000}"/>
    <cellStyle name="หมายเหตุ 2 5" xfId="669" xr:uid="{00000000-0005-0000-0000-0000C8020000}"/>
    <cellStyle name="หมายเหตุ 2 6" xfId="670" xr:uid="{00000000-0005-0000-0000-0000C9020000}"/>
    <cellStyle name="หมายเหตุ 2 7" xfId="671" xr:uid="{00000000-0005-0000-0000-0000CA020000}"/>
    <cellStyle name="หมายเหตุ 2 8" xfId="672" xr:uid="{00000000-0005-0000-0000-0000CB020000}"/>
    <cellStyle name="หมายเหตุ 2 9" xfId="673" xr:uid="{00000000-0005-0000-0000-0000CC020000}"/>
    <cellStyle name="หมายเหตุ 2_Sheet1" xfId="674" xr:uid="{00000000-0005-0000-0000-0000CD020000}"/>
    <cellStyle name="หมายเหตุ 3" xfId="675" xr:uid="{00000000-0005-0000-0000-0000CE020000}"/>
    <cellStyle name="หมายเหตุ 4" xfId="676" xr:uid="{00000000-0005-0000-0000-0000CF020000}"/>
    <cellStyle name="หมายเหตุ 5" xfId="677" xr:uid="{00000000-0005-0000-0000-0000D0020000}"/>
    <cellStyle name="หัวเรื่อง 1 2" xfId="679" xr:uid="{00000000-0005-0000-0000-0000D2020000}"/>
    <cellStyle name="หัวเรื่อง 1 2 2" xfId="680" xr:uid="{00000000-0005-0000-0000-0000D3020000}"/>
    <cellStyle name="หัวเรื่อง 1 2 3" xfId="681" xr:uid="{00000000-0005-0000-0000-0000D4020000}"/>
    <cellStyle name="หัวเรื่อง 1 2 4" xfId="682" xr:uid="{00000000-0005-0000-0000-0000D5020000}"/>
    <cellStyle name="หัวเรื่อง 1 2_Sheet1" xfId="683" xr:uid="{00000000-0005-0000-0000-0000D6020000}"/>
    <cellStyle name="หัวเรื่อง 1 3" xfId="684" xr:uid="{00000000-0005-0000-0000-0000D7020000}"/>
    <cellStyle name="หัวเรื่อง 1 4" xfId="685" xr:uid="{00000000-0005-0000-0000-0000D8020000}"/>
    <cellStyle name="หัวเรื่อง 1 5" xfId="686" xr:uid="{00000000-0005-0000-0000-0000D9020000}"/>
    <cellStyle name="หัวเรื่อง 2 2" xfId="688" xr:uid="{00000000-0005-0000-0000-0000DB020000}"/>
    <cellStyle name="หัวเรื่อง 2 2 2" xfId="689" xr:uid="{00000000-0005-0000-0000-0000DC020000}"/>
    <cellStyle name="หัวเรื่อง 2 2 3" xfId="690" xr:uid="{00000000-0005-0000-0000-0000DD020000}"/>
    <cellStyle name="หัวเรื่อง 2 2 4" xfId="691" xr:uid="{00000000-0005-0000-0000-0000DE020000}"/>
    <cellStyle name="หัวเรื่อง 2 2_Sheet1" xfId="692" xr:uid="{00000000-0005-0000-0000-0000DF020000}"/>
    <cellStyle name="หัวเรื่อง 2 3" xfId="693" xr:uid="{00000000-0005-0000-0000-0000E0020000}"/>
    <cellStyle name="หัวเรื่อง 2 4" xfId="694" xr:uid="{00000000-0005-0000-0000-0000E1020000}"/>
    <cellStyle name="หัวเรื่อง 2 5" xfId="695" xr:uid="{00000000-0005-0000-0000-0000E2020000}"/>
    <cellStyle name="หัวเรื่อง 3 2" xfId="697" xr:uid="{00000000-0005-0000-0000-0000E4020000}"/>
    <cellStyle name="หัวเรื่อง 3 2 2" xfId="698" xr:uid="{00000000-0005-0000-0000-0000E5020000}"/>
    <cellStyle name="หัวเรื่อง 3 2 3" xfId="699" xr:uid="{00000000-0005-0000-0000-0000E6020000}"/>
    <cellStyle name="หัวเรื่อง 3 2 4" xfId="700" xr:uid="{00000000-0005-0000-0000-0000E7020000}"/>
    <cellStyle name="หัวเรื่อง 3 2_Sheet1" xfId="701" xr:uid="{00000000-0005-0000-0000-0000E8020000}"/>
    <cellStyle name="หัวเรื่อง 3 3" xfId="702" xr:uid="{00000000-0005-0000-0000-0000E9020000}"/>
    <cellStyle name="หัวเรื่อง 3 4" xfId="703" xr:uid="{00000000-0005-0000-0000-0000EA020000}"/>
    <cellStyle name="หัวเรื่อง 3 5" xfId="704" xr:uid="{00000000-0005-0000-0000-0000EB020000}"/>
    <cellStyle name="หัวเรื่อง 4 2" xfId="706" xr:uid="{00000000-0005-0000-0000-0000ED020000}"/>
    <cellStyle name="หัวเรื่อง 4 2 2" xfId="707" xr:uid="{00000000-0005-0000-0000-0000EE020000}"/>
    <cellStyle name="หัวเรื่อง 4 2 3" xfId="708" xr:uid="{00000000-0005-0000-0000-0000EF020000}"/>
    <cellStyle name="หัวเรื่อง 4 2 4" xfId="709" xr:uid="{00000000-0005-0000-0000-0000F0020000}"/>
    <cellStyle name="หัวเรื่อง 4 2_Sheet1" xfId="710" xr:uid="{00000000-0005-0000-0000-0000F1020000}"/>
    <cellStyle name="หัวเรื่อง 4 3" xfId="711" xr:uid="{00000000-0005-0000-0000-0000F2020000}"/>
    <cellStyle name="หัวเรื่อง 4 4" xfId="712" xr:uid="{00000000-0005-0000-0000-0000F3020000}"/>
    <cellStyle name="หัวเรื่อง 4 5" xfId="713" xr:uid="{00000000-0005-0000-0000-0000F4020000}"/>
    <cellStyle name="好" xfId="714" xr:uid="{00000000-0005-0000-0000-0000F5020000}"/>
    <cellStyle name="差" xfId="715" xr:uid="{00000000-0005-0000-0000-0000F6020000}"/>
    <cellStyle name="强调文字颜色 1" xfId="716" xr:uid="{00000000-0005-0000-0000-0000F7020000}"/>
    <cellStyle name="强调文字颜色 2" xfId="717" xr:uid="{00000000-0005-0000-0000-0000F8020000}"/>
    <cellStyle name="强调文字颜色 3" xfId="718" xr:uid="{00000000-0005-0000-0000-0000F9020000}"/>
    <cellStyle name="强调文字颜色 4" xfId="719" xr:uid="{00000000-0005-0000-0000-0000FA020000}"/>
    <cellStyle name="强调文字颜色 5" xfId="720" xr:uid="{00000000-0005-0000-0000-0000FB020000}"/>
    <cellStyle name="强调文字颜色 6" xfId="721" xr:uid="{00000000-0005-0000-0000-0000FC020000}"/>
    <cellStyle name="标题" xfId="722" xr:uid="{00000000-0005-0000-0000-0000FD020000}"/>
    <cellStyle name="标题 1" xfId="723" xr:uid="{00000000-0005-0000-0000-0000FE020000}"/>
    <cellStyle name="标题 2" xfId="724" xr:uid="{00000000-0005-0000-0000-0000FF020000}"/>
    <cellStyle name="标题 3" xfId="725" xr:uid="{00000000-0005-0000-0000-000000030000}"/>
    <cellStyle name="标题 4" xfId="726" xr:uid="{00000000-0005-0000-0000-000001030000}"/>
    <cellStyle name="检查单元格" xfId="727" xr:uid="{00000000-0005-0000-0000-000002030000}"/>
    <cellStyle name="汇总" xfId="728" xr:uid="{00000000-0005-0000-0000-000003030000}"/>
    <cellStyle name="注释" xfId="729" xr:uid="{00000000-0005-0000-0000-000004030000}"/>
    <cellStyle name="解释性文本" xfId="730" xr:uid="{00000000-0005-0000-0000-000005030000}"/>
    <cellStyle name="警告文本" xfId="731" xr:uid="{00000000-0005-0000-0000-000006030000}"/>
    <cellStyle name="计算" xfId="732" xr:uid="{00000000-0005-0000-0000-000007030000}"/>
    <cellStyle name="输入" xfId="733" xr:uid="{00000000-0005-0000-0000-000008030000}"/>
    <cellStyle name="输出" xfId="734" xr:uid="{00000000-0005-0000-0000-000009030000}"/>
    <cellStyle name="适中" xfId="735" xr:uid="{00000000-0005-0000-0000-00000A030000}"/>
    <cellStyle name="链接单元格" xfId="736" xr:uid="{00000000-0005-0000-0000-00000B030000}"/>
  </cellStyles>
  <dxfs count="4">
    <dxf>
      <font>
        <color theme="7" tint="0.79998168889431442"/>
      </font>
    </dxf>
    <dxf>
      <font>
        <color theme="7" tint="0.79998168889431442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004040"/>
      <color rgb="FFCCECFF"/>
      <color rgb="FF001C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461597</xdr:colOff>
      <xdr:row>19</xdr:row>
      <xdr:rowOff>139213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8D89B019-7D20-4EB6-A1BF-0D44ADD333E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201" t="5110" r="3800" b="1815"/>
        <a:stretch/>
      </xdr:blipFill>
      <xdr:spPr>
        <a:xfrm>
          <a:off x="0" y="0"/>
          <a:ext cx="3407020" cy="3201867"/>
        </a:xfrm>
        <a:prstGeom prst="rect">
          <a:avLst/>
        </a:prstGeom>
        <a:ln>
          <a:solidFill>
            <a:srgbClr val="FFC000"/>
          </a:solidFill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IV/Desktop/excel/01-&#3588;&#3635;&#3618;&#3634;&#3591;&#3605;&#3640;&#3621;&#3634;64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ข้อมูลครู"/>
      <sheetName val="กรอกคะแนนประเมิน"/>
      <sheetName val="Rank1"/>
      <sheetName val="บัญชีเสนอ1"/>
      <sheetName val="บัญชีเสนอ"/>
      <sheetName val="แบบเสนอขอเลื่อนเงินเดือน"/>
      <sheetName val="Form1-NR"/>
      <sheetName val="บัญชีสรุปการเลื่อนเงินเดือน"/>
      <sheetName val="Form2-R"/>
      <sheetName val="แบบแสดง"/>
      <sheetName val="สรุป"/>
      <sheetName val="หนังสือแจ้ง"/>
      <sheetName val="percent"/>
      <sheetName val="ค่าร้อยละ"/>
      <sheetName val="CodeSch"/>
      <sheetName val="MoneyUP"/>
      <sheetName val="Money"/>
      <sheetName val="แท่งเงินเดือนเดิม"/>
      <sheetName val="01-คำยางตุลา64O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B3" t="str">
            <v>S1</v>
          </cell>
          <cell r="C3" t="str">
            <v>คำยางพิทยาคม</v>
          </cell>
        </row>
        <row r="4">
          <cell r="B4" t="str">
            <v>S2</v>
          </cell>
          <cell r="C4" t="str">
            <v>เดื่อศรีไพรวัลย์</v>
          </cell>
        </row>
        <row r="5">
          <cell r="B5" t="str">
            <v>S3</v>
          </cell>
          <cell r="C5" t="str">
            <v>ธาตุทองอำนวยวิทย์</v>
          </cell>
        </row>
        <row r="6">
          <cell r="B6" t="str">
            <v>S4</v>
          </cell>
          <cell r="C6" t="str">
            <v>ภูดินแดงวิทยา</v>
          </cell>
        </row>
        <row r="7">
          <cell r="B7" t="str">
            <v>S5</v>
          </cell>
          <cell r="C7" t="str">
            <v>ร่มไทรวิทยา</v>
          </cell>
        </row>
        <row r="8">
          <cell r="B8" t="str">
            <v>S6</v>
          </cell>
          <cell r="C8" t="str">
            <v>สกลทวาปี</v>
          </cell>
        </row>
        <row r="9">
          <cell r="B9" t="str">
            <v>S7</v>
          </cell>
        </row>
        <row r="10">
          <cell r="B10" t="str">
            <v>S8</v>
          </cell>
        </row>
        <row r="11">
          <cell r="B11" t="str">
            <v>S9</v>
          </cell>
        </row>
        <row r="12">
          <cell r="B12" t="str">
            <v>S10</v>
          </cell>
        </row>
        <row r="13">
          <cell r="B13" t="str">
            <v>S11</v>
          </cell>
        </row>
        <row r="14">
          <cell r="B14" t="str">
            <v>S12</v>
          </cell>
        </row>
        <row r="15">
          <cell r="B15" t="str">
            <v>S13</v>
          </cell>
        </row>
        <row r="16">
          <cell r="B16" t="str">
            <v>S14</v>
          </cell>
        </row>
        <row r="17">
          <cell r="B17" t="str">
            <v>S15</v>
          </cell>
        </row>
      </sheetData>
      <sheetData sheetId="16"/>
      <sheetData sheetId="17"/>
      <sheetData sheetId="18"/>
      <sheetData sheetId="1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B3C58-0C26-41B8-8F6D-A13BB8E1E222}">
  <dimension ref="B1:AZ91"/>
  <sheetViews>
    <sheetView showGridLines="0" tabSelected="1" workbookViewId="0">
      <selection activeCell="C2" sqref="C2"/>
    </sheetView>
  </sheetViews>
  <sheetFormatPr defaultColWidth="9" defaultRowHeight="17.25" customHeight="1"/>
  <cols>
    <col min="1" max="1" width="4.25" style="32" customWidth="1"/>
    <col min="2" max="2" width="18.125" style="33" customWidth="1"/>
    <col min="3" max="3" width="20.625" style="32" customWidth="1"/>
    <col min="4" max="5" width="9.125" style="33" customWidth="1"/>
    <col min="6" max="13" width="10.625" style="32" customWidth="1"/>
    <col min="14" max="14" width="16.25" bestFit="1" customWidth="1"/>
    <col min="15" max="17" width="9" style="32"/>
    <col min="18" max="18" width="6.5" style="32" hidden="1" customWidth="1"/>
    <col min="19" max="19" width="8.25" style="33" hidden="1" customWidth="1"/>
    <col min="20" max="20" width="9" style="33" hidden="1" customWidth="1"/>
    <col min="21" max="21" width="10.375" style="32" hidden="1" customWidth="1"/>
    <col min="22" max="23" width="9" style="32" hidden="1" customWidth="1"/>
    <col min="24" max="24" width="11.125" style="32" hidden="1" customWidth="1"/>
    <col min="25" max="52" width="9" style="32" hidden="1" customWidth="1"/>
    <col min="53" max="56" width="9" style="32" customWidth="1"/>
    <col min="57" max="16384" width="9" style="32"/>
  </cols>
  <sheetData>
    <row r="1" spans="2:52" ht="29.25" customHeight="1">
      <c r="F1" s="85">
        <f>MONTH(F4)</f>
        <v>10</v>
      </c>
      <c r="AE1" s="32" t="s">
        <v>3</v>
      </c>
      <c r="AF1" s="32">
        <f>DATEDIF(C4,C5,"y")</f>
        <v>37</v>
      </c>
      <c r="AG1" s="32" t="s">
        <v>4</v>
      </c>
      <c r="AH1" s="32">
        <f>DATEDIF(C4,C5,"ym")</f>
        <v>4</v>
      </c>
      <c r="AI1" s="32" t="s">
        <v>5</v>
      </c>
      <c r="AJ1" s="32">
        <f>DATEDIF(C4,C5,"md")</f>
        <v>27</v>
      </c>
      <c r="AK1" s="32" t="s">
        <v>6</v>
      </c>
      <c r="AO1" s="32">
        <f ca="1">DATEDIF(C4,NOW(),"y")</f>
        <v>12</v>
      </c>
      <c r="AP1" s="32" t="s">
        <v>4</v>
      </c>
      <c r="AQ1" s="32">
        <f ca="1">DATEDIF(C4,NOW(),"ym")</f>
        <v>6</v>
      </c>
      <c r="AR1" s="32" t="s">
        <v>5</v>
      </c>
      <c r="AS1" s="32">
        <f ca="1">DATEDIF(C4,NOW(),"md")</f>
        <v>14</v>
      </c>
      <c r="AT1" s="32" t="s">
        <v>6</v>
      </c>
      <c r="AY1" s="32" t="str">
        <f ca="1">LEFT(C7,3)</f>
        <v xml:space="preserve">12 </v>
      </c>
      <c r="AZ1" s="32" t="str">
        <f>LEFT(C6,3)</f>
        <v xml:space="preserve">37 </v>
      </c>
    </row>
    <row r="2" spans="2:52" ht="18" customHeight="1">
      <c r="B2" s="52" t="s">
        <v>0</v>
      </c>
      <c r="C2" s="56" t="s">
        <v>59</v>
      </c>
      <c r="D2" s="62" t="s">
        <v>42</v>
      </c>
      <c r="E2" s="62"/>
      <c r="F2" s="8" t="s">
        <v>28</v>
      </c>
      <c r="G2" s="14"/>
      <c r="H2" s="82" t="s">
        <v>52</v>
      </c>
      <c r="I2" s="80"/>
      <c r="J2" s="80"/>
      <c r="K2" s="80"/>
      <c r="L2" s="80"/>
      <c r="M2" s="80"/>
      <c r="N2" s="78"/>
      <c r="W2" s="67">
        <v>41620</v>
      </c>
    </row>
    <row r="3" spans="2:52" ht="18" customHeight="1">
      <c r="B3" s="54" t="s">
        <v>1</v>
      </c>
      <c r="C3" s="57">
        <v>31812</v>
      </c>
      <c r="D3" s="53" t="s">
        <v>43</v>
      </c>
      <c r="E3" s="53"/>
      <c r="F3" s="15" t="s">
        <v>20</v>
      </c>
      <c r="G3" s="6"/>
      <c r="H3" s="83" t="s">
        <v>55</v>
      </c>
      <c r="I3" s="81"/>
      <c r="J3" s="81"/>
      <c r="K3" s="81"/>
      <c r="L3" s="81"/>
      <c r="M3" s="81"/>
      <c r="N3" s="79"/>
      <c r="R3" s="65"/>
      <c r="S3" s="66"/>
      <c r="T3" s="66"/>
      <c r="U3" s="65"/>
      <c r="V3" s="65"/>
      <c r="W3" s="67">
        <v>58390</v>
      </c>
      <c r="X3" s="65"/>
      <c r="Y3" s="65"/>
      <c r="Z3" s="65"/>
      <c r="AA3" s="65"/>
      <c r="AB3" s="65"/>
      <c r="AC3" s="65"/>
      <c r="AD3" s="65"/>
      <c r="AE3" s="65"/>
      <c r="AF3" s="65"/>
      <c r="AG3" s="65"/>
      <c r="AH3" s="65"/>
      <c r="AI3" s="65"/>
      <c r="AJ3" s="65"/>
      <c r="AK3" s="65"/>
    </row>
    <row r="4" spans="2:52" ht="18" customHeight="1">
      <c r="B4" s="54" t="s">
        <v>2</v>
      </c>
      <c r="C4" s="57">
        <v>40301</v>
      </c>
      <c r="D4" s="53" t="s">
        <v>41</v>
      </c>
      <c r="E4" s="53"/>
      <c r="F4" s="5">
        <v>44470</v>
      </c>
      <c r="G4" s="4"/>
      <c r="H4" s="84" t="s">
        <v>53</v>
      </c>
      <c r="I4" s="81"/>
      <c r="J4" s="81"/>
      <c r="K4" s="81"/>
      <c r="L4" s="81"/>
      <c r="M4" s="81"/>
      <c r="N4" s="79"/>
      <c r="R4" s="65"/>
      <c r="S4" s="66"/>
      <c r="T4" s="66"/>
      <c r="U4" s="65"/>
      <c r="V4" s="65"/>
      <c r="W4" s="67">
        <v>69040</v>
      </c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</row>
    <row r="5" spans="2:52" ht="18" customHeight="1">
      <c r="B5" s="54" t="s">
        <v>39</v>
      </c>
      <c r="C5" s="50">
        <f>IF(C3&lt;=DATE(YEAR(C3),10,1),DATE(YEAR(C3)+60,9,30),DATE(YEAR(C3)+61,9,30))</f>
        <v>53965</v>
      </c>
      <c r="D5" s="53" t="s">
        <v>40</v>
      </c>
      <c r="E5" s="53"/>
      <c r="F5" s="3">
        <v>33540</v>
      </c>
      <c r="G5" s="2"/>
      <c r="H5" s="83" t="s">
        <v>54</v>
      </c>
      <c r="I5" s="81"/>
      <c r="J5" s="81"/>
      <c r="K5" s="81"/>
      <c r="L5" s="81"/>
      <c r="M5" s="81"/>
      <c r="N5" s="79"/>
      <c r="R5" s="65"/>
      <c r="S5" s="66"/>
      <c r="T5" s="66"/>
      <c r="U5" s="65"/>
      <c r="V5" s="65"/>
      <c r="W5" s="67">
        <v>76800</v>
      </c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</row>
    <row r="6" spans="2:52" ht="18" customHeight="1">
      <c r="B6" s="54" t="s">
        <v>36</v>
      </c>
      <c r="C6" s="50" t="str">
        <f>IFERROR(AF1&amp;" "&amp;AG1&amp;" "&amp;AH1&amp;" "&amp;AI1&amp;" "&amp;AJ1&amp;" "&amp;AK1,"โปรดตรวจสอบปีเกิด")</f>
        <v>37 ปี 4 เดือน 27 วัน</v>
      </c>
      <c r="D6" s="1" t="s">
        <v>57</v>
      </c>
      <c r="E6" s="1"/>
      <c r="F6" s="1"/>
      <c r="G6" s="7"/>
      <c r="H6" s="84" t="s">
        <v>56</v>
      </c>
      <c r="I6" s="81"/>
      <c r="J6" s="81"/>
      <c r="K6" s="81"/>
      <c r="L6" s="81"/>
      <c r="M6" s="81"/>
      <c r="N6" s="79"/>
      <c r="R6" s="65"/>
      <c r="S6" s="66"/>
      <c r="T6" s="66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</row>
    <row r="7" spans="2:52" ht="18" customHeight="1">
      <c r="B7" s="55" t="s">
        <v>37</v>
      </c>
      <c r="C7" s="51" t="str">
        <f ca="1">IFERROR(AO1&amp;" "&amp;AP1&amp;" "&amp;" "&amp;AQ1&amp;" "&amp;" "&amp;AR1&amp;" "&amp;AS1&amp;" "&amp;AT1,"วันบรรจุแต่งตั้งต้องก่อนวันปัจจุบันนี้ กรุณาตรวจสอบวันบรรจุ")</f>
        <v>12 ปี  6  เดือน 14 วัน</v>
      </c>
      <c r="D7" s="1"/>
      <c r="E7" s="1"/>
      <c r="F7" s="1"/>
      <c r="G7" s="7"/>
      <c r="H7" s="11" t="s">
        <v>58</v>
      </c>
      <c r="I7" s="10"/>
      <c r="J7" s="10"/>
      <c r="K7" s="10"/>
      <c r="L7" s="10"/>
      <c r="M7" s="10"/>
      <c r="N7" s="9"/>
      <c r="R7" s="65"/>
      <c r="S7" s="66"/>
      <c r="T7" s="66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</row>
    <row r="8" spans="2:52" ht="18" customHeight="1" thickBot="1">
      <c r="C8" s="33"/>
    </row>
    <row r="9" spans="2:52" ht="18" customHeight="1">
      <c r="B9" s="42" t="s">
        <v>34</v>
      </c>
      <c r="C9" s="43" t="s">
        <v>35</v>
      </c>
      <c r="D9" s="43" t="s">
        <v>27</v>
      </c>
      <c r="E9" s="43" t="s">
        <v>29</v>
      </c>
      <c r="F9" s="69" t="s">
        <v>50</v>
      </c>
      <c r="G9" s="43" t="s">
        <v>30</v>
      </c>
      <c r="H9" s="43" t="s">
        <v>31</v>
      </c>
      <c r="I9" s="43" t="s">
        <v>32</v>
      </c>
      <c r="J9" s="43" t="s">
        <v>47</v>
      </c>
      <c r="K9" s="43" t="s">
        <v>33</v>
      </c>
      <c r="L9" s="69" t="s">
        <v>38</v>
      </c>
      <c r="M9" s="43" t="s">
        <v>49</v>
      </c>
      <c r="N9" s="74" t="s">
        <v>51</v>
      </c>
      <c r="R9" s="32" t="s">
        <v>45</v>
      </c>
      <c r="S9" s="33" t="s">
        <v>46</v>
      </c>
      <c r="T9" s="33" t="s">
        <v>9</v>
      </c>
      <c r="U9" s="32" t="s">
        <v>10</v>
      </c>
      <c r="V9" s="32" t="s">
        <v>12</v>
      </c>
      <c r="W9" s="32" t="s">
        <v>47</v>
      </c>
      <c r="X9" s="32" t="s">
        <v>48</v>
      </c>
      <c r="Z9" s="43" t="s">
        <v>44</v>
      </c>
    </row>
    <row r="10" spans="2:52" ht="18" customHeight="1">
      <c r="B10" s="58" t="str">
        <f>IF(B9="เกษียณอายุราชการ","",IF(B9="","",IF(C10-1=$C$5,"เกษียณอายุราชการ",IFERROR(DATEDIF($C$4,C10,"y")&amp;" ปี "&amp;DATEDIF($C$4,C10,"ym")&amp;" เดือน "&amp;DATEDIF($C$4,C10,"md")&amp;" วัน","ยังไม่กรอกวันเลื่อนเงินเดือนล่าสุด"))))</f>
        <v>11 ปี 10 เดือน 29 วัน</v>
      </c>
      <c r="C10" s="60">
        <f>IF(F4="","ยังไม่กรอกวันเลื่อนเดือนล่าสุด",IF(F1=10,F4+182,F4+183))</f>
        <v>44652</v>
      </c>
      <c r="D10" s="39" t="s">
        <v>28</v>
      </c>
      <c r="E10" s="39" t="s">
        <v>20</v>
      </c>
      <c r="F10" s="38">
        <f>IF(F5="","",F5)</f>
        <v>33540</v>
      </c>
      <c r="G10" s="36">
        <f t="shared" ref="G10:G41" si="0">IF($F$5="","",IF(E10="","",V10))</f>
        <v>37200</v>
      </c>
      <c r="H10" s="41">
        <v>0.03</v>
      </c>
      <c r="I10" s="37">
        <f t="shared" ref="I10:I41" si="1">IF($F$5="","",IFERROR(_xlfn.CEILING.MATH(G10*H10,10),""))</f>
        <v>1120</v>
      </c>
      <c r="J10" s="70">
        <f t="shared" ref="J10:J41" si="2">IF(F10="","",X10)</f>
        <v>34660</v>
      </c>
      <c r="K10" s="37">
        <f t="shared" ref="K10:K41" si="3">IF($F$5="","",IF(E10="คศ.2",3500,IF(E10="คศ.3",5600,IF(E10="คศ.4",9900,""))))</f>
        <v>5600</v>
      </c>
      <c r="L10" s="37">
        <f t="shared" ref="L10:L41" si="4">IF($F$5="","",IF(K10="","",IF(K10=3500,"",K10)))</f>
        <v>5600</v>
      </c>
      <c r="M10" s="72">
        <f t="shared" ref="M10:M41" si="5">IF(J10="","",SUM(J10:L10))</f>
        <v>45860</v>
      </c>
      <c r="N10" s="75" t="str">
        <f>IFERROR(IF(Z10="yes","อาศัยเบิกอันดับ "&amp;T10,IF(Y10&gt;0,"เงินเดือนถึงขั้นสูง","")),"")</f>
        <v/>
      </c>
      <c r="R10" s="33">
        <f>IF(E10="","",VLOOKUP(E10,Money!$N$10:$P$15,3))</f>
        <v>3</v>
      </c>
      <c r="S10" s="33">
        <f t="shared" ref="S10:S41" si="6">IF(Z10="Yes",R10+1,R10)</f>
        <v>3</v>
      </c>
      <c r="T10" s="33" t="str">
        <f t="shared" ref="T10:T41" si="7">IF(E10="","","คศ."&amp;S10)</f>
        <v>คศ.3</v>
      </c>
      <c r="U10" s="63">
        <f>IF(T10="","",VLOOKUP(T10,Money!$N$10:$O$15,2))</f>
        <v>58390</v>
      </c>
      <c r="V10" s="34">
        <f t="array" ref="V10">INDEX(Money!$E$6:$E$17,MATCH(1,INDEX(--(E10=Money!$A$6:$A$17)*((F10&gt;=Money!$C$6:$C$17)+0),),0))</f>
        <v>37200</v>
      </c>
      <c r="W10" s="63">
        <f t="shared" ref="W10:W41" si="8">IFERROR(IF(F10="","",F10+I10),"")</f>
        <v>34660</v>
      </c>
      <c r="X10" s="63">
        <f>IF(AND(E10="คศ.1",W10&gt;$W$2),$W$2,IF(AND(E10="คศ.2",W10&gt;$W$3),$W$3,IF(AND(E10="คศ.3",W10&gt;$W$4),$W$4,IF(AND(E10="คศ.4",W10&gt;$W$5),$W$5,W10))))</f>
        <v>34660</v>
      </c>
      <c r="Y10" s="68">
        <f>W10-X10</f>
        <v>0</v>
      </c>
      <c r="Z10" s="64" t="str">
        <f>IF(E10="","",IF(AND(E10="คศ.1",W10&gt;=34310,W10&lt;=41620),"Yes",IF(AND(E10="คศ.2",W10&gt;=41620,W10&lt;=58390),"Yes",IF(AND(E10="คศ.3",W10&gt;=58390,W10&lt;=69040),"Yes",IF(AND(E10="คศ.4",W10&gt;=69040,W10&gt;=76800),"Yes","No")))))</f>
        <v>No</v>
      </c>
    </row>
    <row r="11" spans="2:52" ht="18" customHeight="1">
      <c r="B11" s="58" t="str">
        <f>IF(B10="เกษียณอายุราชการ","",IF(B10="","",IF(C11-1=$C$5,"เกษียณอายุราชการ",IFERROR(DATEDIF($C$4,C11,"y")&amp;" ปี "&amp;DATEDIF($C$4,C11,"ym")&amp;" เดือน "&amp;DATEDIF($C$4,C11,"md")&amp;" วัน","ยังไม่กรอกวันเลื่อนเงินเดือนล่าสุด"))))</f>
        <v>12 ปี 4 เดือน 28 วัน</v>
      </c>
      <c r="C11" s="60">
        <f t="shared" ref="C11:C42" si="9">IF($F$4="","ยังไม่กรอกวันเลื่อนเดือนล่าสุด",EDATE(C10,6))</f>
        <v>44835</v>
      </c>
      <c r="D11" s="39" t="s">
        <v>28</v>
      </c>
      <c r="E11" s="39" t="s">
        <v>20</v>
      </c>
      <c r="F11" s="38">
        <f t="shared" ref="F11:F42" si="10">IF(E11="","",IF(J10="","",J10))</f>
        <v>34660</v>
      </c>
      <c r="G11" s="36">
        <f t="shared" si="0"/>
        <v>37200</v>
      </c>
      <c r="H11" s="41">
        <v>0.03</v>
      </c>
      <c r="I11" s="37">
        <f t="shared" si="1"/>
        <v>1120</v>
      </c>
      <c r="J11" s="70">
        <f t="shared" si="2"/>
        <v>35780</v>
      </c>
      <c r="K11" s="37">
        <f t="shared" si="3"/>
        <v>5600</v>
      </c>
      <c r="L11" s="37">
        <f t="shared" si="4"/>
        <v>5600</v>
      </c>
      <c r="M11" s="72">
        <f t="shared" si="5"/>
        <v>46980</v>
      </c>
      <c r="N11" s="75" t="str">
        <f t="shared" ref="N11:N74" si="11">IFERROR(IF(Z11="yes","อาศัยเบิกอันดับ "&amp;T11,IF(Y11&gt;0,"เงินเดือนถึงขั้นสูง","")),"")</f>
        <v/>
      </c>
      <c r="R11" s="33">
        <f>IF(E11="","",VLOOKUP(E11,Money!$N$10:$P$15,3))</f>
        <v>3</v>
      </c>
      <c r="S11" s="33">
        <f t="shared" si="6"/>
        <v>3</v>
      </c>
      <c r="T11" s="33" t="str">
        <f t="shared" si="7"/>
        <v>คศ.3</v>
      </c>
      <c r="U11" s="63">
        <f>IF(T11="","",VLOOKUP(T11,Money!$N$10:$O$15,2))</f>
        <v>58390</v>
      </c>
      <c r="V11" s="34">
        <f t="array" ref="V11">INDEX(Money!$E$6:$E$17,MATCH(1,INDEX(--(E11=Money!$A$6:$A$17)*((F11&gt;=Money!$C$6:$C$17)+0),),0))</f>
        <v>37200</v>
      </c>
      <c r="W11" s="63">
        <f t="shared" si="8"/>
        <v>35780</v>
      </c>
      <c r="X11" s="63">
        <f t="shared" ref="X11:X74" si="12">IF(AND(E11="คศ.1",W11&gt;$W$2),$W$2,IF(AND(E11="คศ.2",W11&gt;$W$3),$W$3,IF(AND(E11="คศ.3",W11&gt;$W$4),$W$4,IF(AND(E11="คศ.4",W11&gt;$W$5),$W$5,W11))))</f>
        <v>35780</v>
      </c>
      <c r="Y11" s="68">
        <f t="shared" ref="Y11:Y74" si="13">W11-X11</f>
        <v>0</v>
      </c>
      <c r="Z11" s="64" t="str">
        <f t="shared" ref="Z11:Z74" si="14">IF(E11="","",IF(AND(E11="คศ.1",W11&gt;=34310,W11&lt;=41620),"Yes",IF(AND(E11="คศ.2",W11&gt;=41620,W11&lt;=58390),"Yes",IF(AND(E11="คศ.3",W11&gt;=58390,W11&lt;=69040),"Yes",IF(AND(E11="คศ.4",W11&gt;=69040,W11&gt;=76800),"Yes","No")))))</f>
        <v>No</v>
      </c>
    </row>
    <row r="12" spans="2:52" ht="18" customHeight="1">
      <c r="B12" s="58" t="str">
        <f t="shared" ref="B12:B74" si="15">IF(B11="เกษียณอายุราชการ","",IF(B11="","",IF(C12-1=$C$5,"เกษียณอายุราชการ",IFERROR(DATEDIF($C$4,C12,"y")&amp;" ปี "&amp;DATEDIF($C$4,C12,"ym")&amp;" เดือน "&amp;DATEDIF($C$4,C12,"md")&amp;" วัน","ยังไม่กรอกวันเลื่อนเงินเดือนล่าสุด"))))</f>
        <v>12 ปี 10 เดือน 29 วัน</v>
      </c>
      <c r="C12" s="60">
        <f t="shared" si="9"/>
        <v>45017</v>
      </c>
      <c r="D12" s="39" t="s">
        <v>28</v>
      </c>
      <c r="E12" s="39" t="s">
        <v>20</v>
      </c>
      <c r="F12" s="38">
        <f t="shared" si="10"/>
        <v>35780</v>
      </c>
      <c r="G12" s="36">
        <f t="shared" si="0"/>
        <v>37200</v>
      </c>
      <c r="H12" s="41">
        <v>0.03</v>
      </c>
      <c r="I12" s="37">
        <f t="shared" si="1"/>
        <v>1120</v>
      </c>
      <c r="J12" s="70">
        <f t="shared" si="2"/>
        <v>36900</v>
      </c>
      <c r="K12" s="37">
        <f t="shared" si="3"/>
        <v>5600</v>
      </c>
      <c r="L12" s="37">
        <f t="shared" si="4"/>
        <v>5600</v>
      </c>
      <c r="M12" s="72">
        <f t="shared" si="5"/>
        <v>48100</v>
      </c>
      <c r="N12" s="75" t="str">
        <f t="shared" si="11"/>
        <v/>
      </c>
      <c r="R12" s="33">
        <f>IF(E12="","",VLOOKUP(E12,Money!$N$10:$P$15,3))</f>
        <v>3</v>
      </c>
      <c r="S12" s="33">
        <f t="shared" si="6"/>
        <v>3</v>
      </c>
      <c r="T12" s="33" t="str">
        <f t="shared" si="7"/>
        <v>คศ.3</v>
      </c>
      <c r="U12" s="63">
        <f>IF(T12="","",VLOOKUP(T12,Money!$N$10:$O$15,2))</f>
        <v>58390</v>
      </c>
      <c r="V12" s="34">
        <f t="array" ref="V12">INDEX(Money!$E$6:$E$17,MATCH(1,INDEX(--(E12=Money!$A$6:$A$17)*((F12&gt;=Money!$C$6:$C$17)+0),),0))</f>
        <v>37200</v>
      </c>
      <c r="W12" s="63">
        <f t="shared" si="8"/>
        <v>36900</v>
      </c>
      <c r="X12" s="63">
        <f t="shared" si="12"/>
        <v>36900</v>
      </c>
      <c r="Y12" s="68">
        <f t="shared" si="13"/>
        <v>0</v>
      </c>
      <c r="Z12" s="64" t="str">
        <f t="shared" si="14"/>
        <v>No</v>
      </c>
    </row>
    <row r="13" spans="2:52" ht="18" customHeight="1">
      <c r="B13" s="58" t="str">
        <f t="shared" si="15"/>
        <v>13 ปี 4 เดือน 28 วัน</v>
      </c>
      <c r="C13" s="60">
        <f t="shared" si="9"/>
        <v>45200</v>
      </c>
      <c r="D13" s="39" t="s">
        <v>28</v>
      </c>
      <c r="E13" s="39" t="s">
        <v>20</v>
      </c>
      <c r="F13" s="38">
        <f t="shared" si="10"/>
        <v>36900</v>
      </c>
      <c r="G13" s="36">
        <f t="shared" si="0"/>
        <v>37200</v>
      </c>
      <c r="H13" s="41">
        <v>0.03</v>
      </c>
      <c r="I13" s="37">
        <f t="shared" si="1"/>
        <v>1120</v>
      </c>
      <c r="J13" s="70">
        <f t="shared" si="2"/>
        <v>38020</v>
      </c>
      <c r="K13" s="37">
        <f t="shared" si="3"/>
        <v>5600</v>
      </c>
      <c r="L13" s="37">
        <f t="shared" si="4"/>
        <v>5600</v>
      </c>
      <c r="M13" s="72">
        <f t="shared" si="5"/>
        <v>49220</v>
      </c>
      <c r="N13" s="75" t="str">
        <f t="shared" si="11"/>
        <v/>
      </c>
      <c r="R13" s="33">
        <f>IF(E13="","",VLOOKUP(E13,Money!$N$10:$P$15,3))</f>
        <v>3</v>
      </c>
      <c r="S13" s="33">
        <f t="shared" si="6"/>
        <v>3</v>
      </c>
      <c r="T13" s="33" t="str">
        <f t="shared" si="7"/>
        <v>คศ.3</v>
      </c>
      <c r="U13" s="63">
        <f>IF(T13="","",VLOOKUP(T13,Money!$N$10:$O$15,2))</f>
        <v>58390</v>
      </c>
      <c r="V13" s="34">
        <f t="array" ref="V13">INDEX(Money!$E$6:$E$17,MATCH(1,INDEX(--(E13=Money!$A$6:$A$17)*((F13&gt;=Money!$C$6:$C$17)+0),),0))</f>
        <v>37200</v>
      </c>
      <c r="W13" s="63">
        <f t="shared" si="8"/>
        <v>38020</v>
      </c>
      <c r="X13" s="63">
        <f t="shared" si="12"/>
        <v>38020</v>
      </c>
      <c r="Y13" s="68">
        <f t="shared" si="13"/>
        <v>0</v>
      </c>
      <c r="Z13" s="64" t="str">
        <f t="shared" si="14"/>
        <v>No</v>
      </c>
    </row>
    <row r="14" spans="2:52" ht="18" customHeight="1">
      <c r="B14" s="58" t="str">
        <f t="shared" si="15"/>
        <v>13 ปี 10 เดือน 29 วัน</v>
      </c>
      <c r="C14" s="60">
        <f t="shared" si="9"/>
        <v>45383</v>
      </c>
      <c r="D14" s="39" t="s">
        <v>28</v>
      </c>
      <c r="E14" s="39" t="s">
        <v>20</v>
      </c>
      <c r="F14" s="38">
        <f t="shared" si="10"/>
        <v>38020</v>
      </c>
      <c r="G14" s="36">
        <f t="shared" si="0"/>
        <v>37200</v>
      </c>
      <c r="H14" s="41">
        <v>0.03</v>
      </c>
      <c r="I14" s="37">
        <f t="shared" si="1"/>
        <v>1120</v>
      </c>
      <c r="J14" s="70">
        <f t="shared" si="2"/>
        <v>39140</v>
      </c>
      <c r="K14" s="37">
        <f t="shared" si="3"/>
        <v>5600</v>
      </c>
      <c r="L14" s="37">
        <f t="shared" si="4"/>
        <v>5600</v>
      </c>
      <c r="M14" s="72">
        <f t="shared" si="5"/>
        <v>50340</v>
      </c>
      <c r="N14" s="75" t="str">
        <f t="shared" si="11"/>
        <v/>
      </c>
      <c r="R14" s="33">
        <f>IF(E14="","",VLOOKUP(E14,Money!$N$10:$P$15,3))</f>
        <v>3</v>
      </c>
      <c r="S14" s="33">
        <f t="shared" si="6"/>
        <v>3</v>
      </c>
      <c r="T14" s="33" t="str">
        <f t="shared" si="7"/>
        <v>คศ.3</v>
      </c>
      <c r="U14" s="63">
        <f>IF(T14="","",VLOOKUP(T14,Money!$N$10:$O$15,2))</f>
        <v>58390</v>
      </c>
      <c r="V14" s="34">
        <f t="array" ref="V14">INDEX(Money!$E$6:$E$17,MATCH(1,INDEX(--(E14=Money!$A$6:$A$17)*((F14&gt;=Money!$C$6:$C$17)+0),),0))</f>
        <v>37200</v>
      </c>
      <c r="W14" s="63">
        <f t="shared" si="8"/>
        <v>39140</v>
      </c>
      <c r="X14" s="63">
        <f t="shared" si="12"/>
        <v>39140</v>
      </c>
      <c r="Y14" s="68">
        <f t="shared" si="13"/>
        <v>0</v>
      </c>
      <c r="Z14" s="64" t="str">
        <f t="shared" si="14"/>
        <v>No</v>
      </c>
    </row>
    <row r="15" spans="2:52" ht="18" customHeight="1">
      <c r="B15" s="58" t="str">
        <f t="shared" si="15"/>
        <v>14 ปี 4 เดือน 28 วัน</v>
      </c>
      <c r="C15" s="60">
        <f t="shared" si="9"/>
        <v>45566</v>
      </c>
      <c r="D15" s="39" t="s">
        <v>28</v>
      </c>
      <c r="E15" s="39" t="s">
        <v>20</v>
      </c>
      <c r="F15" s="38">
        <f t="shared" si="10"/>
        <v>39140</v>
      </c>
      <c r="G15" s="36">
        <f t="shared" si="0"/>
        <v>37200</v>
      </c>
      <c r="H15" s="41">
        <v>0.03</v>
      </c>
      <c r="I15" s="37">
        <f t="shared" si="1"/>
        <v>1120</v>
      </c>
      <c r="J15" s="70">
        <f t="shared" si="2"/>
        <v>40260</v>
      </c>
      <c r="K15" s="37">
        <f t="shared" si="3"/>
        <v>5600</v>
      </c>
      <c r="L15" s="37">
        <f t="shared" si="4"/>
        <v>5600</v>
      </c>
      <c r="M15" s="72">
        <f t="shared" si="5"/>
        <v>51460</v>
      </c>
      <c r="N15" s="75" t="str">
        <f t="shared" si="11"/>
        <v/>
      </c>
      <c r="R15" s="33">
        <f>IF(E15="","",VLOOKUP(E15,Money!$N$10:$P$15,3))</f>
        <v>3</v>
      </c>
      <c r="S15" s="33">
        <f t="shared" si="6"/>
        <v>3</v>
      </c>
      <c r="T15" s="33" t="str">
        <f t="shared" si="7"/>
        <v>คศ.3</v>
      </c>
      <c r="U15" s="63">
        <f>IF(T15="","",VLOOKUP(T15,Money!$N$10:$O$15,2))</f>
        <v>58390</v>
      </c>
      <c r="V15" s="34">
        <f t="array" ref="V15">INDEX(Money!$E$6:$E$17,MATCH(1,INDEX(--(E15=Money!$A$6:$A$17)*((F15&gt;=Money!$C$6:$C$17)+0),),0))</f>
        <v>37200</v>
      </c>
      <c r="W15" s="63">
        <f t="shared" si="8"/>
        <v>40260</v>
      </c>
      <c r="X15" s="63">
        <f t="shared" si="12"/>
        <v>40260</v>
      </c>
      <c r="Y15" s="68">
        <f t="shared" si="13"/>
        <v>0</v>
      </c>
      <c r="Z15" s="64" t="str">
        <f t="shared" si="14"/>
        <v>No</v>
      </c>
    </row>
    <row r="16" spans="2:52" ht="18" customHeight="1">
      <c r="B16" s="58" t="str">
        <f t="shared" si="15"/>
        <v>14 ปี 10 เดือน 29 วัน</v>
      </c>
      <c r="C16" s="60">
        <f t="shared" si="9"/>
        <v>45748</v>
      </c>
      <c r="D16" s="39" t="s">
        <v>28</v>
      </c>
      <c r="E16" s="39" t="s">
        <v>20</v>
      </c>
      <c r="F16" s="38">
        <f t="shared" si="10"/>
        <v>40260</v>
      </c>
      <c r="G16" s="36">
        <f t="shared" si="0"/>
        <v>37200</v>
      </c>
      <c r="H16" s="41">
        <v>0.03</v>
      </c>
      <c r="I16" s="37">
        <f t="shared" si="1"/>
        <v>1120</v>
      </c>
      <c r="J16" s="70">
        <f t="shared" si="2"/>
        <v>41380</v>
      </c>
      <c r="K16" s="37">
        <f t="shared" si="3"/>
        <v>5600</v>
      </c>
      <c r="L16" s="37">
        <f t="shared" si="4"/>
        <v>5600</v>
      </c>
      <c r="M16" s="72">
        <f t="shared" si="5"/>
        <v>52580</v>
      </c>
      <c r="N16" s="75" t="str">
        <f t="shared" si="11"/>
        <v/>
      </c>
      <c r="R16" s="33">
        <f>IF(E16="","",VLOOKUP(E16,Money!$N$10:$P$15,3))</f>
        <v>3</v>
      </c>
      <c r="S16" s="33">
        <f t="shared" si="6"/>
        <v>3</v>
      </c>
      <c r="T16" s="33" t="str">
        <f t="shared" si="7"/>
        <v>คศ.3</v>
      </c>
      <c r="U16" s="63">
        <f>IF(T16="","",VLOOKUP(T16,Money!$N$10:$O$15,2))</f>
        <v>58390</v>
      </c>
      <c r="V16" s="34">
        <f t="array" ref="V16">INDEX(Money!$E$6:$E$17,MATCH(1,INDEX(--(E16=Money!$A$6:$A$17)*((F16&gt;=Money!$C$6:$C$17)+0),),0))</f>
        <v>37200</v>
      </c>
      <c r="W16" s="63">
        <f t="shared" si="8"/>
        <v>41380</v>
      </c>
      <c r="X16" s="63">
        <f t="shared" si="12"/>
        <v>41380</v>
      </c>
      <c r="Y16" s="68">
        <f t="shared" si="13"/>
        <v>0</v>
      </c>
      <c r="Z16" s="64" t="str">
        <f t="shared" si="14"/>
        <v>No</v>
      </c>
    </row>
    <row r="17" spans="2:26" ht="18" customHeight="1">
      <c r="B17" s="58" t="str">
        <f t="shared" si="15"/>
        <v>15 ปี 4 เดือน 28 วัน</v>
      </c>
      <c r="C17" s="60">
        <f t="shared" si="9"/>
        <v>45931</v>
      </c>
      <c r="D17" s="39" t="s">
        <v>28</v>
      </c>
      <c r="E17" s="39" t="s">
        <v>20</v>
      </c>
      <c r="F17" s="38">
        <f t="shared" si="10"/>
        <v>41380</v>
      </c>
      <c r="G17" s="36">
        <f t="shared" si="0"/>
        <v>49330</v>
      </c>
      <c r="H17" s="41">
        <v>0.03</v>
      </c>
      <c r="I17" s="37">
        <f t="shared" si="1"/>
        <v>1480</v>
      </c>
      <c r="J17" s="70">
        <f t="shared" si="2"/>
        <v>42860</v>
      </c>
      <c r="K17" s="37">
        <f t="shared" si="3"/>
        <v>5600</v>
      </c>
      <c r="L17" s="37">
        <f t="shared" si="4"/>
        <v>5600</v>
      </c>
      <c r="M17" s="72">
        <f t="shared" si="5"/>
        <v>54060</v>
      </c>
      <c r="N17" s="75" t="str">
        <f t="shared" si="11"/>
        <v/>
      </c>
      <c r="R17" s="33">
        <f>IF(E17="","",VLOOKUP(E17,Money!$N$10:$P$15,3))</f>
        <v>3</v>
      </c>
      <c r="S17" s="33">
        <f t="shared" si="6"/>
        <v>3</v>
      </c>
      <c r="T17" s="33" t="str">
        <f t="shared" si="7"/>
        <v>คศ.3</v>
      </c>
      <c r="U17" s="63">
        <f>IF(T17="","",VLOOKUP(T17,Money!$N$10:$O$15,2))</f>
        <v>58390</v>
      </c>
      <c r="V17" s="34">
        <f t="array" ref="V17">INDEX(Money!$E$6:$E$17,MATCH(1,INDEX(--(E17=Money!$A$6:$A$17)*((F17&gt;=Money!$C$6:$C$17)+0),),0))</f>
        <v>49330</v>
      </c>
      <c r="W17" s="63">
        <f t="shared" si="8"/>
        <v>42860</v>
      </c>
      <c r="X17" s="63">
        <f t="shared" si="12"/>
        <v>42860</v>
      </c>
      <c r="Y17" s="68">
        <f t="shared" si="13"/>
        <v>0</v>
      </c>
      <c r="Z17" s="64" t="str">
        <f t="shared" si="14"/>
        <v>No</v>
      </c>
    </row>
    <row r="18" spans="2:26" ht="18" customHeight="1">
      <c r="B18" s="58" t="str">
        <f t="shared" si="15"/>
        <v>15 ปี 10 เดือน 29 วัน</v>
      </c>
      <c r="C18" s="60">
        <f t="shared" si="9"/>
        <v>46113</v>
      </c>
      <c r="D18" s="39" t="s">
        <v>28</v>
      </c>
      <c r="E18" s="39" t="s">
        <v>20</v>
      </c>
      <c r="F18" s="38">
        <f t="shared" si="10"/>
        <v>42860</v>
      </c>
      <c r="G18" s="36">
        <f t="shared" si="0"/>
        <v>49330</v>
      </c>
      <c r="H18" s="41">
        <v>0.03</v>
      </c>
      <c r="I18" s="37">
        <f t="shared" si="1"/>
        <v>1480</v>
      </c>
      <c r="J18" s="70">
        <f t="shared" si="2"/>
        <v>44340</v>
      </c>
      <c r="K18" s="37">
        <f t="shared" si="3"/>
        <v>5600</v>
      </c>
      <c r="L18" s="37">
        <f t="shared" si="4"/>
        <v>5600</v>
      </c>
      <c r="M18" s="72">
        <f t="shared" si="5"/>
        <v>55540</v>
      </c>
      <c r="N18" s="75" t="str">
        <f t="shared" si="11"/>
        <v/>
      </c>
      <c r="R18" s="33">
        <f>IF(E18="","",VLOOKUP(E18,Money!$N$10:$P$15,3))</f>
        <v>3</v>
      </c>
      <c r="S18" s="33">
        <f t="shared" si="6"/>
        <v>3</v>
      </c>
      <c r="T18" s="33" t="str">
        <f t="shared" si="7"/>
        <v>คศ.3</v>
      </c>
      <c r="U18" s="63">
        <f>IF(T18="","",VLOOKUP(T18,Money!$N$10:$O$15,2))</f>
        <v>58390</v>
      </c>
      <c r="V18" s="34">
        <f t="array" ref="V18">INDEX(Money!$E$6:$E$17,MATCH(1,INDEX(--(E18=Money!$A$6:$A$17)*((F18&gt;=Money!$C$6:$C$17)+0),),0))</f>
        <v>49330</v>
      </c>
      <c r="W18" s="63">
        <f t="shared" si="8"/>
        <v>44340</v>
      </c>
      <c r="X18" s="63">
        <f t="shared" si="12"/>
        <v>44340</v>
      </c>
      <c r="Y18" s="68">
        <f t="shared" si="13"/>
        <v>0</v>
      </c>
      <c r="Z18" s="64" t="str">
        <f t="shared" si="14"/>
        <v>No</v>
      </c>
    </row>
    <row r="19" spans="2:26" ht="18" customHeight="1">
      <c r="B19" s="58" t="str">
        <f t="shared" si="15"/>
        <v>16 ปี 4 เดือน 28 วัน</v>
      </c>
      <c r="C19" s="60">
        <f t="shared" si="9"/>
        <v>46296</v>
      </c>
      <c r="D19" s="39" t="s">
        <v>28</v>
      </c>
      <c r="E19" s="39" t="s">
        <v>20</v>
      </c>
      <c r="F19" s="38">
        <f t="shared" si="10"/>
        <v>44340</v>
      </c>
      <c r="G19" s="36">
        <f t="shared" si="0"/>
        <v>49330</v>
      </c>
      <c r="H19" s="41">
        <v>0.03</v>
      </c>
      <c r="I19" s="37">
        <f t="shared" si="1"/>
        <v>1480</v>
      </c>
      <c r="J19" s="70">
        <f t="shared" si="2"/>
        <v>45820</v>
      </c>
      <c r="K19" s="37">
        <f t="shared" si="3"/>
        <v>5600</v>
      </c>
      <c r="L19" s="37">
        <f t="shared" si="4"/>
        <v>5600</v>
      </c>
      <c r="M19" s="72">
        <f t="shared" si="5"/>
        <v>57020</v>
      </c>
      <c r="N19" s="75" t="str">
        <f t="shared" si="11"/>
        <v/>
      </c>
      <c r="R19" s="33">
        <f>IF(E19="","",VLOOKUP(E19,Money!$N$10:$P$15,3))</f>
        <v>3</v>
      </c>
      <c r="S19" s="33">
        <f t="shared" si="6"/>
        <v>3</v>
      </c>
      <c r="T19" s="33" t="str">
        <f t="shared" si="7"/>
        <v>คศ.3</v>
      </c>
      <c r="U19" s="63">
        <f>IF(T19="","",VLOOKUP(T19,Money!$N$10:$O$15,2))</f>
        <v>58390</v>
      </c>
      <c r="V19" s="34">
        <f t="array" ref="V19">INDEX(Money!$E$6:$E$17,MATCH(1,INDEX(--(E19=Money!$A$6:$A$17)*((F19&gt;=Money!$C$6:$C$17)+0),),0))</f>
        <v>49330</v>
      </c>
      <c r="W19" s="63">
        <f t="shared" si="8"/>
        <v>45820</v>
      </c>
      <c r="X19" s="63">
        <f t="shared" si="12"/>
        <v>45820</v>
      </c>
      <c r="Y19" s="68">
        <f t="shared" si="13"/>
        <v>0</v>
      </c>
      <c r="Z19" s="64" t="str">
        <f t="shared" si="14"/>
        <v>No</v>
      </c>
    </row>
    <row r="20" spans="2:26" ht="18" customHeight="1">
      <c r="B20" s="58" t="str">
        <f t="shared" si="15"/>
        <v>16 ปี 10 เดือน 29 วัน</v>
      </c>
      <c r="C20" s="60">
        <f t="shared" si="9"/>
        <v>46478</v>
      </c>
      <c r="D20" s="39" t="s">
        <v>28</v>
      </c>
      <c r="E20" s="39" t="s">
        <v>20</v>
      </c>
      <c r="F20" s="38">
        <f t="shared" si="10"/>
        <v>45820</v>
      </c>
      <c r="G20" s="36">
        <f t="shared" si="0"/>
        <v>49330</v>
      </c>
      <c r="H20" s="41">
        <v>0.03</v>
      </c>
      <c r="I20" s="37">
        <f t="shared" si="1"/>
        <v>1480</v>
      </c>
      <c r="J20" s="70">
        <f t="shared" si="2"/>
        <v>47300</v>
      </c>
      <c r="K20" s="37">
        <f t="shared" si="3"/>
        <v>5600</v>
      </c>
      <c r="L20" s="37">
        <f t="shared" si="4"/>
        <v>5600</v>
      </c>
      <c r="M20" s="72">
        <f t="shared" si="5"/>
        <v>58500</v>
      </c>
      <c r="N20" s="75" t="str">
        <f t="shared" si="11"/>
        <v/>
      </c>
      <c r="R20" s="33">
        <f>IF(E20="","",VLOOKUP(E20,Money!$N$10:$P$15,3))</f>
        <v>3</v>
      </c>
      <c r="S20" s="33">
        <f t="shared" si="6"/>
        <v>3</v>
      </c>
      <c r="T20" s="33" t="str">
        <f t="shared" si="7"/>
        <v>คศ.3</v>
      </c>
      <c r="U20" s="63">
        <f>IF(T20="","",VLOOKUP(T20,Money!$N$10:$O$15,2))</f>
        <v>58390</v>
      </c>
      <c r="V20" s="34">
        <f t="array" ref="V20">INDEX(Money!$E$6:$E$17,MATCH(1,INDEX(--(E20=Money!$A$6:$A$17)*((F20&gt;=Money!$C$6:$C$17)+0),),0))</f>
        <v>49330</v>
      </c>
      <c r="W20" s="63">
        <f t="shared" si="8"/>
        <v>47300</v>
      </c>
      <c r="X20" s="63">
        <f t="shared" si="12"/>
        <v>47300</v>
      </c>
      <c r="Y20" s="68">
        <f t="shared" si="13"/>
        <v>0</v>
      </c>
      <c r="Z20" s="64" t="str">
        <f t="shared" si="14"/>
        <v>No</v>
      </c>
    </row>
    <row r="21" spans="2:26" ht="18" customHeight="1">
      <c r="B21" s="58" t="str">
        <f t="shared" si="15"/>
        <v>17 ปี 4 เดือน 28 วัน</v>
      </c>
      <c r="C21" s="60">
        <f t="shared" si="9"/>
        <v>46661</v>
      </c>
      <c r="D21" s="39" t="s">
        <v>28</v>
      </c>
      <c r="E21" s="39" t="s">
        <v>20</v>
      </c>
      <c r="F21" s="38">
        <f t="shared" si="10"/>
        <v>47300</v>
      </c>
      <c r="G21" s="36">
        <f t="shared" si="0"/>
        <v>49330</v>
      </c>
      <c r="H21" s="41">
        <v>0.03</v>
      </c>
      <c r="I21" s="37">
        <f t="shared" si="1"/>
        <v>1480</v>
      </c>
      <c r="J21" s="70">
        <f t="shared" si="2"/>
        <v>48780</v>
      </c>
      <c r="K21" s="37">
        <f t="shared" si="3"/>
        <v>5600</v>
      </c>
      <c r="L21" s="37">
        <f t="shared" si="4"/>
        <v>5600</v>
      </c>
      <c r="M21" s="72">
        <f t="shared" si="5"/>
        <v>59980</v>
      </c>
      <c r="N21" s="75" t="str">
        <f t="shared" si="11"/>
        <v/>
      </c>
      <c r="R21" s="33">
        <f>IF(E21="","",VLOOKUP(E21,Money!$N$10:$P$15,3))</f>
        <v>3</v>
      </c>
      <c r="S21" s="33">
        <f t="shared" si="6"/>
        <v>3</v>
      </c>
      <c r="T21" s="33" t="str">
        <f t="shared" si="7"/>
        <v>คศ.3</v>
      </c>
      <c r="U21" s="63">
        <f>IF(T21="","",VLOOKUP(T21,Money!$N$10:$O$15,2))</f>
        <v>58390</v>
      </c>
      <c r="V21" s="34">
        <f t="array" ref="V21">INDEX(Money!$E$6:$E$17,MATCH(1,INDEX(--(E21=Money!$A$6:$A$17)*((F21&gt;=Money!$C$6:$C$17)+0),),0))</f>
        <v>49330</v>
      </c>
      <c r="W21" s="63">
        <f t="shared" si="8"/>
        <v>48780</v>
      </c>
      <c r="X21" s="63">
        <f t="shared" si="12"/>
        <v>48780</v>
      </c>
      <c r="Y21" s="68">
        <f t="shared" si="13"/>
        <v>0</v>
      </c>
      <c r="Z21" s="64" t="str">
        <f t="shared" si="14"/>
        <v>No</v>
      </c>
    </row>
    <row r="22" spans="2:26" ht="18" customHeight="1">
      <c r="B22" s="58" t="str">
        <f t="shared" si="15"/>
        <v>17 ปี 10 เดือน 29 วัน</v>
      </c>
      <c r="C22" s="60">
        <f t="shared" si="9"/>
        <v>46844</v>
      </c>
      <c r="D22" s="39" t="s">
        <v>28</v>
      </c>
      <c r="E22" s="40" t="s">
        <v>20</v>
      </c>
      <c r="F22" s="38">
        <f t="shared" si="10"/>
        <v>48780</v>
      </c>
      <c r="G22" s="36">
        <f t="shared" si="0"/>
        <v>49330</v>
      </c>
      <c r="H22" s="41">
        <v>0.03</v>
      </c>
      <c r="I22" s="37">
        <f t="shared" si="1"/>
        <v>1480</v>
      </c>
      <c r="J22" s="70">
        <f t="shared" si="2"/>
        <v>50260</v>
      </c>
      <c r="K22" s="37">
        <f t="shared" si="3"/>
        <v>5600</v>
      </c>
      <c r="L22" s="37">
        <f t="shared" si="4"/>
        <v>5600</v>
      </c>
      <c r="M22" s="72">
        <f t="shared" si="5"/>
        <v>61460</v>
      </c>
      <c r="N22" s="75" t="str">
        <f t="shared" si="11"/>
        <v/>
      </c>
      <c r="R22" s="33">
        <f>IF(E22="","",VLOOKUP(E22,Money!$N$10:$P$15,3))</f>
        <v>3</v>
      </c>
      <c r="S22" s="33">
        <f t="shared" si="6"/>
        <v>3</v>
      </c>
      <c r="T22" s="33" t="str">
        <f t="shared" si="7"/>
        <v>คศ.3</v>
      </c>
      <c r="U22" s="63">
        <f>IF(T22="","",VLOOKUP(T22,Money!$N$10:$O$15,2))</f>
        <v>58390</v>
      </c>
      <c r="V22" s="34">
        <f t="array" ref="V22">INDEX(Money!$E$6:$E$17,MATCH(1,INDEX(--(E22=Money!$A$6:$A$17)*((F22&gt;=Money!$C$6:$C$17)+0),),0))</f>
        <v>49330</v>
      </c>
      <c r="W22" s="63">
        <f t="shared" si="8"/>
        <v>50260</v>
      </c>
      <c r="X22" s="63">
        <f t="shared" si="12"/>
        <v>50260</v>
      </c>
      <c r="Y22" s="68">
        <f t="shared" si="13"/>
        <v>0</v>
      </c>
      <c r="Z22" s="64" t="str">
        <f t="shared" si="14"/>
        <v>No</v>
      </c>
    </row>
    <row r="23" spans="2:26" ht="18" customHeight="1">
      <c r="B23" s="58" t="str">
        <f t="shared" si="15"/>
        <v>18 ปี 4 เดือน 28 วัน</v>
      </c>
      <c r="C23" s="60">
        <f t="shared" si="9"/>
        <v>47027</v>
      </c>
      <c r="D23" s="39" t="s">
        <v>28</v>
      </c>
      <c r="E23" s="40" t="s">
        <v>20</v>
      </c>
      <c r="F23" s="38">
        <f t="shared" si="10"/>
        <v>50260</v>
      </c>
      <c r="G23" s="36">
        <f t="shared" si="0"/>
        <v>49330</v>
      </c>
      <c r="H23" s="41">
        <v>0.03</v>
      </c>
      <c r="I23" s="37">
        <f t="shared" si="1"/>
        <v>1480</v>
      </c>
      <c r="J23" s="70">
        <f t="shared" si="2"/>
        <v>51740</v>
      </c>
      <c r="K23" s="37">
        <f t="shared" si="3"/>
        <v>5600</v>
      </c>
      <c r="L23" s="37">
        <f t="shared" si="4"/>
        <v>5600</v>
      </c>
      <c r="M23" s="72">
        <f t="shared" si="5"/>
        <v>62940</v>
      </c>
      <c r="N23" s="75" t="str">
        <f t="shared" si="11"/>
        <v/>
      </c>
      <c r="R23" s="33">
        <f>IF(E23="","",VLOOKUP(E23,Money!$N$10:$P$15,3))</f>
        <v>3</v>
      </c>
      <c r="S23" s="33">
        <f t="shared" si="6"/>
        <v>3</v>
      </c>
      <c r="T23" s="33" t="str">
        <f t="shared" si="7"/>
        <v>คศ.3</v>
      </c>
      <c r="U23" s="63">
        <f>IF(T23="","",VLOOKUP(T23,Money!$N$10:$O$15,2))</f>
        <v>58390</v>
      </c>
      <c r="V23" s="34">
        <f t="array" ref="V23">INDEX(Money!$E$6:$E$17,MATCH(1,INDEX(--(E23=Money!$A$6:$A$17)*((F23&gt;=Money!$C$6:$C$17)+0),),0))</f>
        <v>49330</v>
      </c>
      <c r="W23" s="63">
        <f t="shared" si="8"/>
        <v>51740</v>
      </c>
      <c r="X23" s="63">
        <f t="shared" si="12"/>
        <v>51740</v>
      </c>
      <c r="Y23" s="68">
        <f t="shared" si="13"/>
        <v>0</v>
      </c>
      <c r="Z23" s="64" t="str">
        <f t="shared" si="14"/>
        <v>No</v>
      </c>
    </row>
    <row r="24" spans="2:26" ht="18" customHeight="1">
      <c r="B24" s="58" t="str">
        <f t="shared" si="15"/>
        <v>18 ปี 10 เดือน 29 วัน</v>
      </c>
      <c r="C24" s="60">
        <f t="shared" si="9"/>
        <v>47209</v>
      </c>
      <c r="D24" s="39" t="s">
        <v>28</v>
      </c>
      <c r="E24" s="40" t="s">
        <v>20</v>
      </c>
      <c r="F24" s="38">
        <f t="shared" si="10"/>
        <v>51740</v>
      </c>
      <c r="G24" s="36">
        <f t="shared" si="0"/>
        <v>49330</v>
      </c>
      <c r="H24" s="41">
        <v>0.03</v>
      </c>
      <c r="I24" s="37">
        <f t="shared" si="1"/>
        <v>1480</v>
      </c>
      <c r="J24" s="70">
        <f t="shared" si="2"/>
        <v>53220</v>
      </c>
      <c r="K24" s="37">
        <f t="shared" si="3"/>
        <v>5600</v>
      </c>
      <c r="L24" s="37">
        <f t="shared" si="4"/>
        <v>5600</v>
      </c>
      <c r="M24" s="72">
        <f t="shared" si="5"/>
        <v>64420</v>
      </c>
      <c r="N24" s="75" t="str">
        <f t="shared" si="11"/>
        <v/>
      </c>
      <c r="R24" s="33">
        <f>IF(E24="","",VLOOKUP(E24,Money!$N$10:$P$15,3))</f>
        <v>3</v>
      </c>
      <c r="S24" s="33">
        <f t="shared" si="6"/>
        <v>3</v>
      </c>
      <c r="T24" s="33" t="str">
        <f t="shared" si="7"/>
        <v>คศ.3</v>
      </c>
      <c r="U24" s="63">
        <f>IF(T24="","",VLOOKUP(T24,Money!$N$10:$O$15,2))</f>
        <v>58390</v>
      </c>
      <c r="V24" s="34">
        <f t="array" ref="V24">INDEX(Money!$E$6:$E$17,MATCH(1,INDEX(--(E24=Money!$A$6:$A$17)*((F24&gt;=Money!$C$6:$C$17)+0),),0))</f>
        <v>49330</v>
      </c>
      <c r="W24" s="63">
        <f t="shared" si="8"/>
        <v>53220</v>
      </c>
      <c r="X24" s="63">
        <f t="shared" si="12"/>
        <v>53220</v>
      </c>
      <c r="Y24" s="68">
        <f t="shared" si="13"/>
        <v>0</v>
      </c>
      <c r="Z24" s="64" t="str">
        <f t="shared" si="14"/>
        <v>No</v>
      </c>
    </row>
    <row r="25" spans="2:26" ht="18" customHeight="1">
      <c r="B25" s="58" t="str">
        <f t="shared" si="15"/>
        <v>19 ปี 4 เดือน 28 วัน</v>
      </c>
      <c r="C25" s="60">
        <f t="shared" si="9"/>
        <v>47392</v>
      </c>
      <c r="D25" s="39" t="s">
        <v>28</v>
      </c>
      <c r="E25" s="40" t="s">
        <v>20</v>
      </c>
      <c r="F25" s="38">
        <f t="shared" si="10"/>
        <v>53220</v>
      </c>
      <c r="G25" s="36">
        <f t="shared" si="0"/>
        <v>49330</v>
      </c>
      <c r="H25" s="41">
        <v>0.03</v>
      </c>
      <c r="I25" s="37">
        <f t="shared" si="1"/>
        <v>1480</v>
      </c>
      <c r="J25" s="70">
        <f t="shared" si="2"/>
        <v>54700</v>
      </c>
      <c r="K25" s="37">
        <f t="shared" si="3"/>
        <v>5600</v>
      </c>
      <c r="L25" s="37">
        <f t="shared" si="4"/>
        <v>5600</v>
      </c>
      <c r="M25" s="72">
        <f t="shared" si="5"/>
        <v>65900</v>
      </c>
      <c r="N25" s="75" t="str">
        <f t="shared" si="11"/>
        <v/>
      </c>
      <c r="R25" s="33">
        <f>IF(E25="","",VLOOKUP(E25,Money!$N$10:$P$15,3))</f>
        <v>3</v>
      </c>
      <c r="S25" s="33">
        <f t="shared" si="6"/>
        <v>3</v>
      </c>
      <c r="T25" s="33" t="str">
        <f t="shared" si="7"/>
        <v>คศ.3</v>
      </c>
      <c r="U25" s="63">
        <f>IF(T25="","",VLOOKUP(T25,Money!$N$10:$O$15,2))</f>
        <v>58390</v>
      </c>
      <c r="V25" s="34">
        <f t="array" ref="V25">INDEX(Money!$E$6:$E$17,MATCH(1,INDEX(--(E25=Money!$A$6:$A$17)*((F25&gt;=Money!$C$6:$C$17)+0),),0))</f>
        <v>49330</v>
      </c>
      <c r="W25" s="63">
        <f t="shared" si="8"/>
        <v>54700</v>
      </c>
      <c r="X25" s="63">
        <f t="shared" si="12"/>
        <v>54700</v>
      </c>
      <c r="Y25" s="68">
        <f t="shared" si="13"/>
        <v>0</v>
      </c>
      <c r="Z25" s="64" t="str">
        <f t="shared" si="14"/>
        <v>No</v>
      </c>
    </row>
    <row r="26" spans="2:26" ht="18" customHeight="1">
      <c r="B26" s="58" t="str">
        <f t="shared" si="15"/>
        <v>19 ปี 10 เดือน 29 วัน</v>
      </c>
      <c r="C26" s="60">
        <f t="shared" si="9"/>
        <v>47574</v>
      </c>
      <c r="D26" s="39" t="s">
        <v>28</v>
      </c>
      <c r="E26" s="40" t="s">
        <v>20</v>
      </c>
      <c r="F26" s="38">
        <f t="shared" si="10"/>
        <v>54700</v>
      </c>
      <c r="G26" s="36">
        <f t="shared" si="0"/>
        <v>49330</v>
      </c>
      <c r="H26" s="41">
        <v>0.03</v>
      </c>
      <c r="I26" s="37">
        <f t="shared" si="1"/>
        <v>1480</v>
      </c>
      <c r="J26" s="70">
        <f t="shared" si="2"/>
        <v>56180</v>
      </c>
      <c r="K26" s="37">
        <f t="shared" si="3"/>
        <v>5600</v>
      </c>
      <c r="L26" s="37">
        <f t="shared" si="4"/>
        <v>5600</v>
      </c>
      <c r="M26" s="72">
        <f t="shared" si="5"/>
        <v>67380</v>
      </c>
      <c r="N26" s="75" t="str">
        <f t="shared" si="11"/>
        <v/>
      </c>
      <c r="R26" s="33">
        <f>IF(E26="","",VLOOKUP(E26,Money!$N$10:$P$15,3))</f>
        <v>3</v>
      </c>
      <c r="S26" s="33">
        <f t="shared" si="6"/>
        <v>3</v>
      </c>
      <c r="T26" s="33" t="str">
        <f t="shared" si="7"/>
        <v>คศ.3</v>
      </c>
      <c r="U26" s="63">
        <f>IF(T26="","",VLOOKUP(T26,Money!$N$10:$O$15,2))</f>
        <v>58390</v>
      </c>
      <c r="V26" s="34">
        <f t="array" ref="V26">INDEX(Money!$E$6:$E$17,MATCH(1,INDEX(--(E26=Money!$A$6:$A$17)*((F26&gt;=Money!$C$6:$C$17)+0),),0))</f>
        <v>49330</v>
      </c>
      <c r="W26" s="63">
        <f t="shared" si="8"/>
        <v>56180</v>
      </c>
      <c r="X26" s="63">
        <f t="shared" si="12"/>
        <v>56180</v>
      </c>
      <c r="Y26" s="68">
        <f t="shared" si="13"/>
        <v>0</v>
      </c>
      <c r="Z26" s="64" t="str">
        <f t="shared" si="14"/>
        <v>No</v>
      </c>
    </row>
    <row r="27" spans="2:26" ht="18" customHeight="1">
      <c r="B27" s="58" t="str">
        <f t="shared" si="15"/>
        <v>20 ปี 4 เดือน 28 วัน</v>
      </c>
      <c r="C27" s="60">
        <f t="shared" si="9"/>
        <v>47757</v>
      </c>
      <c r="D27" s="39" t="s">
        <v>28</v>
      </c>
      <c r="E27" s="40" t="s">
        <v>20</v>
      </c>
      <c r="F27" s="38">
        <f t="shared" si="10"/>
        <v>56180</v>
      </c>
      <c r="G27" s="36">
        <f t="shared" si="0"/>
        <v>49330</v>
      </c>
      <c r="H27" s="41">
        <v>0.03</v>
      </c>
      <c r="I27" s="37">
        <f t="shared" si="1"/>
        <v>1480</v>
      </c>
      <c r="J27" s="70">
        <f t="shared" si="2"/>
        <v>57660</v>
      </c>
      <c r="K27" s="37">
        <f t="shared" si="3"/>
        <v>5600</v>
      </c>
      <c r="L27" s="37">
        <f t="shared" si="4"/>
        <v>5600</v>
      </c>
      <c r="M27" s="72">
        <f t="shared" si="5"/>
        <v>68860</v>
      </c>
      <c r="N27" s="75" t="str">
        <f t="shared" si="11"/>
        <v/>
      </c>
      <c r="R27" s="33">
        <f>IF(E27="","",VLOOKUP(E27,Money!$N$10:$P$15,3))</f>
        <v>3</v>
      </c>
      <c r="S27" s="33">
        <f t="shared" si="6"/>
        <v>3</v>
      </c>
      <c r="T27" s="33" t="str">
        <f t="shared" si="7"/>
        <v>คศ.3</v>
      </c>
      <c r="U27" s="63">
        <f>IF(T27="","",VLOOKUP(T27,Money!$N$10:$O$15,2))</f>
        <v>58390</v>
      </c>
      <c r="V27" s="34">
        <f t="array" ref="V27">INDEX(Money!$E$6:$E$17,MATCH(1,INDEX(--(E27=Money!$A$6:$A$17)*((F27&gt;=Money!$C$6:$C$17)+0),),0))</f>
        <v>49330</v>
      </c>
      <c r="W27" s="63">
        <f t="shared" si="8"/>
        <v>57660</v>
      </c>
      <c r="X27" s="63">
        <f t="shared" si="12"/>
        <v>57660</v>
      </c>
      <c r="Y27" s="68">
        <f t="shared" si="13"/>
        <v>0</v>
      </c>
      <c r="Z27" s="64" t="str">
        <f t="shared" si="14"/>
        <v>No</v>
      </c>
    </row>
    <row r="28" spans="2:26" ht="18" customHeight="1">
      <c r="B28" s="58" t="str">
        <f t="shared" si="15"/>
        <v>20 ปี 10 เดือน 29 วัน</v>
      </c>
      <c r="C28" s="60">
        <f t="shared" si="9"/>
        <v>47939</v>
      </c>
      <c r="D28" s="39" t="s">
        <v>28</v>
      </c>
      <c r="E28" s="40" t="s">
        <v>20</v>
      </c>
      <c r="F28" s="38">
        <f t="shared" si="10"/>
        <v>57660</v>
      </c>
      <c r="G28" s="36">
        <f t="shared" si="0"/>
        <v>49330</v>
      </c>
      <c r="H28" s="41">
        <v>0.03</v>
      </c>
      <c r="I28" s="37">
        <f t="shared" si="1"/>
        <v>1480</v>
      </c>
      <c r="J28" s="70">
        <f t="shared" si="2"/>
        <v>59140</v>
      </c>
      <c r="K28" s="37">
        <f t="shared" si="3"/>
        <v>5600</v>
      </c>
      <c r="L28" s="37">
        <f t="shared" si="4"/>
        <v>5600</v>
      </c>
      <c r="M28" s="72">
        <f t="shared" si="5"/>
        <v>70340</v>
      </c>
      <c r="N28" s="75" t="str">
        <f t="shared" si="11"/>
        <v>อาศัยเบิกอันดับ คศ.4</v>
      </c>
      <c r="R28" s="33">
        <f>IF(E28="","",VLOOKUP(E28,Money!$N$10:$P$15,3))</f>
        <v>3</v>
      </c>
      <c r="S28" s="33">
        <f t="shared" si="6"/>
        <v>4</v>
      </c>
      <c r="T28" s="33" t="str">
        <f t="shared" si="7"/>
        <v>คศ.4</v>
      </c>
      <c r="U28" s="63">
        <f>IF(T28="","",VLOOKUP(T28,Money!$N$10:$O$15,2))</f>
        <v>69040</v>
      </c>
      <c r="V28" s="34">
        <f t="array" ref="V28">INDEX(Money!$E$6:$E$17,MATCH(1,INDEX(--(E28=Money!$A$6:$A$17)*((F28&gt;=Money!$C$6:$C$17)+0),),0))</f>
        <v>49330</v>
      </c>
      <c r="W28" s="63">
        <f t="shared" si="8"/>
        <v>59140</v>
      </c>
      <c r="X28" s="63">
        <f t="shared" si="12"/>
        <v>59140</v>
      </c>
      <c r="Y28" s="68">
        <f t="shared" si="13"/>
        <v>0</v>
      </c>
      <c r="Z28" s="64" t="str">
        <f t="shared" si="14"/>
        <v>Yes</v>
      </c>
    </row>
    <row r="29" spans="2:26" ht="18" customHeight="1">
      <c r="B29" s="58" t="str">
        <f t="shared" si="15"/>
        <v>21 ปี 4 เดือน 28 วัน</v>
      </c>
      <c r="C29" s="60">
        <f t="shared" si="9"/>
        <v>48122</v>
      </c>
      <c r="D29" s="39" t="s">
        <v>28</v>
      </c>
      <c r="E29" s="40" t="s">
        <v>20</v>
      </c>
      <c r="F29" s="38">
        <f t="shared" si="10"/>
        <v>59140</v>
      </c>
      <c r="G29" s="36">
        <f t="shared" si="0"/>
        <v>49330</v>
      </c>
      <c r="H29" s="41">
        <v>0.03</v>
      </c>
      <c r="I29" s="37">
        <f t="shared" si="1"/>
        <v>1480</v>
      </c>
      <c r="J29" s="70">
        <f t="shared" si="2"/>
        <v>60620</v>
      </c>
      <c r="K29" s="37">
        <f t="shared" si="3"/>
        <v>5600</v>
      </c>
      <c r="L29" s="37">
        <f t="shared" si="4"/>
        <v>5600</v>
      </c>
      <c r="M29" s="72">
        <f t="shared" si="5"/>
        <v>71820</v>
      </c>
      <c r="N29" s="75" t="str">
        <f t="shared" si="11"/>
        <v>อาศัยเบิกอันดับ คศ.4</v>
      </c>
      <c r="R29" s="33">
        <f>IF(E29="","",VLOOKUP(E29,Money!$N$10:$P$15,3))</f>
        <v>3</v>
      </c>
      <c r="S29" s="33">
        <f t="shared" si="6"/>
        <v>4</v>
      </c>
      <c r="T29" s="33" t="str">
        <f t="shared" si="7"/>
        <v>คศ.4</v>
      </c>
      <c r="U29" s="63">
        <f>IF(T29="","",VLOOKUP(T29,Money!$N$10:$O$15,2))</f>
        <v>69040</v>
      </c>
      <c r="V29" s="34">
        <f t="array" ref="V29">INDEX(Money!$E$6:$E$17,MATCH(1,INDEX(--(E29=Money!$A$6:$A$17)*((F29&gt;=Money!$C$6:$C$17)+0),),0))</f>
        <v>49330</v>
      </c>
      <c r="W29" s="63">
        <f t="shared" si="8"/>
        <v>60620</v>
      </c>
      <c r="X29" s="63">
        <f t="shared" si="12"/>
        <v>60620</v>
      </c>
      <c r="Y29" s="68">
        <f t="shared" si="13"/>
        <v>0</v>
      </c>
      <c r="Z29" s="64" t="str">
        <f t="shared" si="14"/>
        <v>Yes</v>
      </c>
    </row>
    <row r="30" spans="2:26" ht="18" customHeight="1">
      <c r="B30" s="58" t="str">
        <f t="shared" si="15"/>
        <v>21 ปี 10 เดือน 29 วัน</v>
      </c>
      <c r="C30" s="60">
        <f t="shared" si="9"/>
        <v>48305</v>
      </c>
      <c r="D30" s="39" t="s">
        <v>28</v>
      </c>
      <c r="E30" s="40" t="s">
        <v>20</v>
      </c>
      <c r="F30" s="38">
        <f t="shared" si="10"/>
        <v>60620</v>
      </c>
      <c r="G30" s="36">
        <f t="shared" si="0"/>
        <v>49330</v>
      </c>
      <c r="H30" s="41">
        <v>0.03</v>
      </c>
      <c r="I30" s="37">
        <f t="shared" si="1"/>
        <v>1480</v>
      </c>
      <c r="J30" s="70">
        <f t="shared" si="2"/>
        <v>62100</v>
      </c>
      <c r="K30" s="37">
        <f t="shared" si="3"/>
        <v>5600</v>
      </c>
      <c r="L30" s="37">
        <f t="shared" si="4"/>
        <v>5600</v>
      </c>
      <c r="M30" s="72">
        <f t="shared" si="5"/>
        <v>73300</v>
      </c>
      <c r="N30" s="75" t="str">
        <f t="shared" si="11"/>
        <v>อาศัยเบิกอันดับ คศ.4</v>
      </c>
      <c r="R30" s="33">
        <f>IF(E30="","",VLOOKUP(E30,Money!$N$10:$P$15,3))</f>
        <v>3</v>
      </c>
      <c r="S30" s="33">
        <f t="shared" si="6"/>
        <v>4</v>
      </c>
      <c r="T30" s="33" t="str">
        <f t="shared" si="7"/>
        <v>คศ.4</v>
      </c>
      <c r="U30" s="63">
        <f>IF(T30="","",VLOOKUP(T30,Money!$N$10:$O$15,2))</f>
        <v>69040</v>
      </c>
      <c r="V30" s="34">
        <f t="array" ref="V30">INDEX(Money!$E$6:$E$17,MATCH(1,INDEX(--(E30=Money!$A$6:$A$17)*((F30&gt;=Money!$C$6:$C$17)+0),),0))</f>
        <v>49330</v>
      </c>
      <c r="W30" s="63">
        <f t="shared" si="8"/>
        <v>62100</v>
      </c>
      <c r="X30" s="63">
        <f t="shared" si="12"/>
        <v>62100</v>
      </c>
      <c r="Y30" s="68">
        <f t="shared" si="13"/>
        <v>0</v>
      </c>
      <c r="Z30" s="64" t="str">
        <f t="shared" si="14"/>
        <v>Yes</v>
      </c>
    </row>
    <row r="31" spans="2:26" ht="18" customHeight="1">
      <c r="B31" s="58" t="str">
        <f t="shared" si="15"/>
        <v>22 ปี 4 เดือน 28 วัน</v>
      </c>
      <c r="C31" s="60">
        <f t="shared" si="9"/>
        <v>48488</v>
      </c>
      <c r="D31" s="39" t="s">
        <v>28</v>
      </c>
      <c r="E31" s="40" t="s">
        <v>20</v>
      </c>
      <c r="F31" s="38">
        <f t="shared" si="10"/>
        <v>62100</v>
      </c>
      <c r="G31" s="36">
        <f t="shared" si="0"/>
        <v>49330</v>
      </c>
      <c r="H31" s="41">
        <v>0.03</v>
      </c>
      <c r="I31" s="37">
        <f t="shared" si="1"/>
        <v>1480</v>
      </c>
      <c r="J31" s="70">
        <f t="shared" si="2"/>
        <v>63580</v>
      </c>
      <c r="K31" s="37">
        <f t="shared" si="3"/>
        <v>5600</v>
      </c>
      <c r="L31" s="37">
        <f t="shared" si="4"/>
        <v>5600</v>
      </c>
      <c r="M31" s="72">
        <f t="shared" si="5"/>
        <v>74780</v>
      </c>
      <c r="N31" s="75" t="str">
        <f t="shared" si="11"/>
        <v>อาศัยเบิกอันดับ คศ.4</v>
      </c>
      <c r="R31" s="33">
        <f>IF(E31="","",VLOOKUP(E31,Money!$N$10:$P$15,3))</f>
        <v>3</v>
      </c>
      <c r="S31" s="33">
        <f t="shared" si="6"/>
        <v>4</v>
      </c>
      <c r="T31" s="33" t="str">
        <f t="shared" si="7"/>
        <v>คศ.4</v>
      </c>
      <c r="U31" s="63">
        <f>IF(T31="","",VLOOKUP(T31,Money!$N$10:$O$15,2))</f>
        <v>69040</v>
      </c>
      <c r="V31" s="34">
        <f t="array" ref="V31">INDEX(Money!$E$6:$E$17,MATCH(1,INDEX(--(E31=Money!$A$6:$A$17)*((F31&gt;=Money!$C$6:$C$17)+0),),0))</f>
        <v>49330</v>
      </c>
      <c r="W31" s="63">
        <f t="shared" si="8"/>
        <v>63580</v>
      </c>
      <c r="X31" s="63">
        <f t="shared" si="12"/>
        <v>63580</v>
      </c>
      <c r="Y31" s="68">
        <f t="shared" si="13"/>
        <v>0</v>
      </c>
      <c r="Z31" s="64" t="str">
        <f t="shared" si="14"/>
        <v>Yes</v>
      </c>
    </row>
    <row r="32" spans="2:26" ht="18" customHeight="1">
      <c r="B32" s="58" t="str">
        <f t="shared" si="15"/>
        <v>22 ปี 10 เดือน 29 วัน</v>
      </c>
      <c r="C32" s="60">
        <f t="shared" si="9"/>
        <v>48670</v>
      </c>
      <c r="D32" s="39" t="s">
        <v>28</v>
      </c>
      <c r="E32" s="40" t="s">
        <v>20</v>
      </c>
      <c r="F32" s="38">
        <f t="shared" si="10"/>
        <v>63580</v>
      </c>
      <c r="G32" s="36">
        <f t="shared" si="0"/>
        <v>49330</v>
      </c>
      <c r="H32" s="41">
        <v>0.03</v>
      </c>
      <c r="I32" s="37">
        <f t="shared" si="1"/>
        <v>1480</v>
      </c>
      <c r="J32" s="70">
        <f t="shared" si="2"/>
        <v>65060</v>
      </c>
      <c r="K32" s="37">
        <f t="shared" si="3"/>
        <v>5600</v>
      </c>
      <c r="L32" s="37">
        <f t="shared" si="4"/>
        <v>5600</v>
      </c>
      <c r="M32" s="72">
        <f t="shared" si="5"/>
        <v>76260</v>
      </c>
      <c r="N32" s="75" t="str">
        <f t="shared" si="11"/>
        <v>อาศัยเบิกอันดับ คศ.4</v>
      </c>
      <c r="R32" s="33">
        <f>IF(E32="","",VLOOKUP(E32,Money!$N$10:$P$15,3))</f>
        <v>3</v>
      </c>
      <c r="S32" s="33">
        <f t="shared" si="6"/>
        <v>4</v>
      </c>
      <c r="T32" s="33" t="str">
        <f t="shared" si="7"/>
        <v>คศ.4</v>
      </c>
      <c r="U32" s="63">
        <f>IF(T32="","",VLOOKUP(T32,Money!$N$10:$O$15,2))</f>
        <v>69040</v>
      </c>
      <c r="V32" s="34">
        <f t="array" ref="V32">INDEX(Money!$E$6:$E$17,MATCH(1,INDEX(--(E32=Money!$A$6:$A$17)*((F32&gt;=Money!$C$6:$C$17)+0),),0))</f>
        <v>49330</v>
      </c>
      <c r="W32" s="63">
        <f t="shared" si="8"/>
        <v>65060</v>
      </c>
      <c r="X32" s="63">
        <f t="shared" si="12"/>
        <v>65060</v>
      </c>
      <c r="Y32" s="68">
        <f t="shared" si="13"/>
        <v>0</v>
      </c>
      <c r="Z32" s="64" t="str">
        <f t="shared" si="14"/>
        <v>Yes</v>
      </c>
    </row>
    <row r="33" spans="2:26" ht="18" customHeight="1">
      <c r="B33" s="58" t="str">
        <f t="shared" si="15"/>
        <v>23 ปี 4 เดือน 28 วัน</v>
      </c>
      <c r="C33" s="60">
        <f t="shared" si="9"/>
        <v>48853</v>
      </c>
      <c r="D33" s="39" t="s">
        <v>28</v>
      </c>
      <c r="E33" s="40" t="s">
        <v>20</v>
      </c>
      <c r="F33" s="38">
        <f t="shared" si="10"/>
        <v>65060</v>
      </c>
      <c r="G33" s="36">
        <f t="shared" si="0"/>
        <v>49330</v>
      </c>
      <c r="H33" s="41">
        <v>0.03</v>
      </c>
      <c r="I33" s="37">
        <f t="shared" si="1"/>
        <v>1480</v>
      </c>
      <c r="J33" s="70">
        <f t="shared" si="2"/>
        <v>66540</v>
      </c>
      <c r="K33" s="37">
        <f t="shared" si="3"/>
        <v>5600</v>
      </c>
      <c r="L33" s="37">
        <f t="shared" si="4"/>
        <v>5600</v>
      </c>
      <c r="M33" s="72">
        <f t="shared" si="5"/>
        <v>77740</v>
      </c>
      <c r="N33" s="75" t="str">
        <f t="shared" si="11"/>
        <v>อาศัยเบิกอันดับ คศ.4</v>
      </c>
      <c r="R33" s="33">
        <f>IF(E33="","",VLOOKUP(E33,Money!$N$10:$P$15,3))</f>
        <v>3</v>
      </c>
      <c r="S33" s="33">
        <f t="shared" si="6"/>
        <v>4</v>
      </c>
      <c r="T33" s="33" t="str">
        <f t="shared" si="7"/>
        <v>คศ.4</v>
      </c>
      <c r="U33" s="63">
        <f>IF(T33="","",VLOOKUP(T33,Money!$N$10:$O$15,2))</f>
        <v>69040</v>
      </c>
      <c r="V33" s="34">
        <f t="array" ref="V33">INDEX(Money!$E$6:$E$17,MATCH(1,INDEX(--(E33=Money!$A$6:$A$17)*((F33&gt;=Money!$C$6:$C$17)+0),),0))</f>
        <v>49330</v>
      </c>
      <c r="W33" s="63">
        <f t="shared" si="8"/>
        <v>66540</v>
      </c>
      <c r="X33" s="63">
        <f t="shared" si="12"/>
        <v>66540</v>
      </c>
      <c r="Y33" s="68">
        <f t="shared" si="13"/>
        <v>0</v>
      </c>
      <c r="Z33" s="64" t="str">
        <f t="shared" si="14"/>
        <v>Yes</v>
      </c>
    </row>
    <row r="34" spans="2:26" ht="18" customHeight="1">
      <c r="B34" s="58" t="str">
        <f t="shared" si="15"/>
        <v>23 ปี 10 เดือน 29 วัน</v>
      </c>
      <c r="C34" s="60">
        <f t="shared" si="9"/>
        <v>49035</v>
      </c>
      <c r="D34" s="39" t="s">
        <v>28</v>
      </c>
      <c r="E34" s="40" t="s">
        <v>20</v>
      </c>
      <c r="F34" s="38">
        <f t="shared" si="10"/>
        <v>66540</v>
      </c>
      <c r="G34" s="36">
        <f t="shared" si="0"/>
        <v>49330</v>
      </c>
      <c r="H34" s="41">
        <v>0.03</v>
      </c>
      <c r="I34" s="37">
        <f t="shared" si="1"/>
        <v>1480</v>
      </c>
      <c r="J34" s="70">
        <f t="shared" si="2"/>
        <v>68020</v>
      </c>
      <c r="K34" s="37">
        <f t="shared" si="3"/>
        <v>5600</v>
      </c>
      <c r="L34" s="37">
        <f t="shared" si="4"/>
        <v>5600</v>
      </c>
      <c r="M34" s="72">
        <f t="shared" si="5"/>
        <v>79220</v>
      </c>
      <c r="N34" s="75" t="str">
        <f t="shared" si="11"/>
        <v>อาศัยเบิกอันดับ คศ.4</v>
      </c>
      <c r="R34" s="33">
        <f>IF(E34="","",VLOOKUP(E34,Money!$N$10:$P$15,3))</f>
        <v>3</v>
      </c>
      <c r="S34" s="33">
        <f t="shared" si="6"/>
        <v>4</v>
      </c>
      <c r="T34" s="33" t="str">
        <f t="shared" si="7"/>
        <v>คศ.4</v>
      </c>
      <c r="U34" s="63">
        <f>IF(T34="","",VLOOKUP(T34,Money!$N$10:$O$15,2))</f>
        <v>69040</v>
      </c>
      <c r="V34" s="34">
        <f t="array" ref="V34">INDEX(Money!$E$6:$E$17,MATCH(1,INDEX(--(E34=Money!$A$6:$A$17)*((F34&gt;=Money!$C$6:$C$17)+0),),0))</f>
        <v>49330</v>
      </c>
      <c r="W34" s="63">
        <f t="shared" si="8"/>
        <v>68020</v>
      </c>
      <c r="X34" s="63">
        <f t="shared" si="12"/>
        <v>68020</v>
      </c>
      <c r="Y34" s="68">
        <f t="shared" si="13"/>
        <v>0</v>
      </c>
      <c r="Z34" s="64" t="str">
        <f t="shared" si="14"/>
        <v>Yes</v>
      </c>
    </row>
    <row r="35" spans="2:26" ht="18" customHeight="1">
      <c r="B35" s="58" t="str">
        <f t="shared" si="15"/>
        <v>24 ปี 4 เดือน 28 วัน</v>
      </c>
      <c r="C35" s="60">
        <f t="shared" si="9"/>
        <v>49218</v>
      </c>
      <c r="D35" s="39" t="s">
        <v>28</v>
      </c>
      <c r="E35" s="40" t="s">
        <v>20</v>
      </c>
      <c r="F35" s="38">
        <f t="shared" si="10"/>
        <v>68020</v>
      </c>
      <c r="G35" s="36">
        <f t="shared" si="0"/>
        <v>49330</v>
      </c>
      <c r="H35" s="41">
        <v>0.03</v>
      </c>
      <c r="I35" s="37">
        <f t="shared" si="1"/>
        <v>1480</v>
      </c>
      <c r="J35" s="70">
        <f t="shared" si="2"/>
        <v>69040</v>
      </c>
      <c r="K35" s="37">
        <f t="shared" si="3"/>
        <v>5600</v>
      </c>
      <c r="L35" s="37">
        <f t="shared" si="4"/>
        <v>5600</v>
      </c>
      <c r="M35" s="72">
        <f t="shared" si="5"/>
        <v>80240</v>
      </c>
      <c r="N35" s="75" t="str">
        <f t="shared" si="11"/>
        <v>เงินเดือนถึงขั้นสูง</v>
      </c>
      <c r="R35" s="33">
        <f>IF(E35="","",VLOOKUP(E35,Money!$N$10:$P$15,3))</f>
        <v>3</v>
      </c>
      <c r="S35" s="33">
        <f t="shared" si="6"/>
        <v>3</v>
      </c>
      <c r="T35" s="33" t="str">
        <f t="shared" si="7"/>
        <v>คศ.3</v>
      </c>
      <c r="U35" s="63">
        <f>IF(T35="","",VLOOKUP(T35,Money!$N$10:$O$15,2))</f>
        <v>58390</v>
      </c>
      <c r="V35" s="34">
        <f t="array" ref="V35">INDEX(Money!$E$6:$E$17,MATCH(1,INDEX(--(E35=Money!$A$6:$A$17)*((F35&gt;=Money!$C$6:$C$17)+0),),0))</f>
        <v>49330</v>
      </c>
      <c r="W35" s="63">
        <f t="shared" si="8"/>
        <v>69500</v>
      </c>
      <c r="X35" s="63">
        <f t="shared" si="12"/>
        <v>69040</v>
      </c>
      <c r="Y35" s="68">
        <f t="shared" si="13"/>
        <v>460</v>
      </c>
      <c r="Z35" s="64" t="str">
        <f t="shared" si="14"/>
        <v>No</v>
      </c>
    </row>
    <row r="36" spans="2:26" ht="18" customHeight="1">
      <c r="B36" s="58" t="str">
        <f t="shared" si="15"/>
        <v>24 ปี 10 เดือน 29 วัน</v>
      </c>
      <c r="C36" s="60">
        <f t="shared" si="9"/>
        <v>49400</v>
      </c>
      <c r="D36" s="39" t="s">
        <v>28</v>
      </c>
      <c r="E36" s="40" t="s">
        <v>20</v>
      </c>
      <c r="F36" s="38">
        <f t="shared" si="10"/>
        <v>69040</v>
      </c>
      <c r="G36" s="36">
        <f t="shared" si="0"/>
        <v>49330</v>
      </c>
      <c r="H36" s="41">
        <v>0.03</v>
      </c>
      <c r="I36" s="37">
        <f t="shared" si="1"/>
        <v>1480</v>
      </c>
      <c r="J36" s="70">
        <f t="shared" si="2"/>
        <v>69040</v>
      </c>
      <c r="K36" s="37">
        <f t="shared" si="3"/>
        <v>5600</v>
      </c>
      <c r="L36" s="37">
        <f t="shared" si="4"/>
        <v>5600</v>
      </c>
      <c r="M36" s="72">
        <f t="shared" si="5"/>
        <v>80240</v>
      </c>
      <c r="N36" s="75" t="str">
        <f t="shared" si="11"/>
        <v>เงินเดือนถึงขั้นสูง</v>
      </c>
      <c r="R36" s="33">
        <f>IF(E36="","",VLOOKUP(E36,Money!$N$10:$P$15,3))</f>
        <v>3</v>
      </c>
      <c r="S36" s="33">
        <f t="shared" si="6"/>
        <v>3</v>
      </c>
      <c r="T36" s="33" t="str">
        <f t="shared" si="7"/>
        <v>คศ.3</v>
      </c>
      <c r="U36" s="63">
        <f>IF(T36="","",VLOOKUP(T36,Money!$N$10:$O$15,2))</f>
        <v>58390</v>
      </c>
      <c r="V36" s="34">
        <f t="array" ref="V36">INDEX(Money!$E$6:$E$17,MATCH(1,INDEX(--(E36=Money!$A$6:$A$17)*((F36&gt;=Money!$C$6:$C$17)+0),),0))</f>
        <v>49330</v>
      </c>
      <c r="W36" s="63">
        <f t="shared" si="8"/>
        <v>70520</v>
      </c>
      <c r="X36" s="63">
        <f t="shared" si="12"/>
        <v>69040</v>
      </c>
      <c r="Y36" s="68">
        <f t="shared" si="13"/>
        <v>1480</v>
      </c>
      <c r="Z36" s="64" t="str">
        <f t="shared" si="14"/>
        <v>No</v>
      </c>
    </row>
    <row r="37" spans="2:26" ht="18" customHeight="1">
      <c r="B37" s="58" t="str">
        <f t="shared" si="15"/>
        <v>25 ปี 4 เดือน 28 วัน</v>
      </c>
      <c r="C37" s="60">
        <f t="shared" si="9"/>
        <v>49583</v>
      </c>
      <c r="D37" s="39" t="s">
        <v>28</v>
      </c>
      <c r="E37" s="40" t="s">
        <v>20</v>
      </c>
      <c r="F37" s="38">
        <f t="shared" si="10"/>
        <v>69040</v>
      </c>
      <c r="G37" s="36">
        <f t="shared" si="0"/>
        <v>49330</v>
      </c>
      <c r="H37" s="41">
        <v>0.03</v>
      </c>
      <c r="I37" s="37">
        <f t="shared" si="1"/>
        <v>1480</v>
      </c>
      <c r="J37" s="70">
        <f t="shared" si="2"/>
        <v>69040</v>
      </c>
      <c r="K37" s="37">
        <f t="shared" si="3"/>
        <v>5600</v>
      </c>
      <c r="L37" s="37">
        <f t="shared" si="4"/>
        <v>5600</v>
      </c>
      <c r="M37" s="72">
        <f t="shared" si="5"/>
        <v>80240</v>
      </c>
      <c r="N37" s="75" t="str">
        <f t="shared" si="11"/>
        <v>เงินเดือนถึงขั้นสูง</v>
      </c>
      <c r="R37" s="33">
        <f>IF(E37="","",VLOOKUP(E37,Money!$N$10:$P$15,3))</f>
        <v>3</v>
      </c>
      <c r="S37" s="33">
        <f t="shared" si="6"/>
        <v>3</v>
      </c>
      <c r="T37" s="33" t="str">
        <f t="shared" si="7"/>
        <v>คศ.3</v>
      </c>
      <c r="U37" s="63">
        <f>IF(T37="","",VLOOKUP(T37,Money!$N$10:$O$15,2))</f>
        <v>58390</v>
      </c>
      <c r="V37" s="34">
        <f t="array" ref="V37">INDEX(Money!$E$6:$E$17,MATCH(1,INDEX(--(E37=Money!$A$6:$A$17)*((F37&gt;=Money!$C$6:$C$17)+0),),0))</f>
        <v>49330</v>
      </c>
      <c r="W37" s="63">
        <f t="shared" si="8"/>
        <v>70520</v>
      </c>
      <c r="X37" s="63">
        <f t="shared" si="12"/>
        <v>69040</v>
      </c>
      <c r="Y37" s="68">
        <f t="shared" si="13"/>
        <v>1480</v>
      </c>
      <c r="Z37" s="64" t="str">
        <f t="shared" si="14"/>
        <v>No</v>
      </c>
    </row>
    <row r="38" spans="2:26" ht="18" customHeight="1">
      <c r="B38" s="58" t="str">
        <f t="shared" si="15"/>
        <v>25 ปี 10 เดือน 29 วัน</v>
      </c>
      <c r="C38" s="60">
        <f t="shared" si="9"/>
        <v>49766</v>
      </c>
      <c r="D38" s="39" t="s">
        <v>28</v>
      </c>
      <c r="E38" s="40" t="s">
        <v>20</v>
      </c>
      <c r="F38" s="38">
        <f t="shared" si="10"/>
        <v>69040</v>
      </c>
      <c r="G38" s="36">
        <f t="shared" si="0"/>
        <v>49330</v>
      </c>
      <c r="H38" s="41">
        <v>0.03</v>
      </c>
      <c r="I38" s="37">
        <f t="shared" si="1"/>
        <v>1480</v>
      </c>
      <c r="J38" s="70">
        <f t="shared" si="2"/>
        <v>69040</v>
      </c>
      <c r="K38" s="37">
        <f t="shared" si="3"/>
        <v>5600</v>
      </c>
      <c r="L38" s="37">
        <f t="shared" si="4"/>
        <v>5600</v>
      </c>
      <c r="M38" s="72">
        <f t="shared" si="5"/>
        <v>80240</v>
      </c>
      <c r="N38" s="75" t="str">
        <f t="shared" si="11"/>
        <v>เงินเดือนถึงขั้นสูง</v>
      </c>
      <c r="R38" s="33">
        <f>IF(E38="","",VLOOKUP(E38,Money!$N$10:$P$15,3))</f>
        <v>3</v>
      </c>
      <c r="S38" s="33">
        <f t="shared" si="6"/>
        <v>3</v>
      </c>
      <c r="T38" s="33" t="str">
        <f t="shared" si="7"/>
        <v>คศ.3</v>
      </c>
      <c r="U38" s="63">
        <f>IF(T38="","",VLOOKUP(T38,Money!$N$10:$O$15,2))</f>
        <v>58390</v>
      </c>
      <c r="V38" s="34">
        <f t="array" ref="V38">INDEX(Money!$E$6:$E$17,MATCH(1,INDEX(--(E38=Money!$A$6:$A$17)*((F38&gt;=Money!$C$6:$C$17)+0),),0))</f>
        <v>49330</v>
      </c>
      <c r="W38" s="63">
        <f t="shared" si="8"/>
        <v>70520</v>
      </c>
      <c r="X38" s="63">
        <f t="shared" si="12"/>
        <v>69040</v>
      </c>
      <c r="Y38" s="68">
        <f t="shared" si="13"/>
        <v>1480</v>
      </c>
      <c r="Z38" s="64" t="str">
        <f t="shared" si="14"/>
        <v>No</v>
      </c>
    </row>
    <row r="39" spans="2:26" ht="18" customHeight="1">
      <c r="B39" s="58" t="str">
        <f t="shared" si="15"/>
        <v>26 ปี 4 เดือน 28 วัน</v>
      </c>
      <c r="C39" s="60">
        <f t="shared" si="9"/>
        <v>49949</v>
      </c>
      <c r="D39" s="39" t="s">
        <v>28</v>
      </c>
      <c r="E39" s="40" t="s">
        <v>20</v>
      </c>
      <c r="F39" s="38">
        <f t="shared" si="10"/>
        <v>69040</v>
      </c>
      <c r="G39" s="36">
        <f t="shared" si="0"/>
        <v>49330</v>
      </c>
      <c r="H39" s="41">
        <v>0.03</v>
      </c>
      <c r="I39" s="37">
        <f t="shared" si="1"/>
        <v>1480</v>
      </c>
      <c r="J39" s="70">
        <f t="shared" si="2"/>
        <v>69040</v>
      </c>
      <c r="K39" s="37">
        <f t="shared" si="3"/>
        <v>5600</v>
      </c>
      <c r="L39" s="37">
        <f t="shared" si="4"/>
        <v>5600</v>
      </c>
      <c r="M39" s="72">
        <f t="shared" si="5"/>
        <v>80240</v>
      </c>
      <c r="N39" s="75" t="str">
        <f t="shared" si="11"/>
        <v>เงินเดือนถึงขั้นสูง</v>
      </c>
      <c r="R39" s="33">
        <f>IF(E39="","",VLOOKUP(E39,Money!$N$10:$P$15,3))</f>
        <v>3</v>
      </c>
      <c r="S39" s="33">
        <f t="shared" si="6"/>
        <v>3</v>
      </c>
      <c r="T39" s="33" t="str">
        <f t="shared" si="7"/>
        <v>คศ.3</v>
      </c>
      <c r="U39" s="63">
        <f>IF(T39="","",VLOOKUP(T39,Money!$N$10:$O$15,2))</f>
        <v>58390</v>
      </c>
      <c r="V39" s="34">
        <f t="array" ref="V39">INDEX(Money!$E$6:$E$17,MATCH(1,INDEX(--(E39=Money!$A$6:$A$17)*((F39&gt;=Money!$C$6:$C$17)+0),),0))</f>
        <v>49330</v>
      </c>
      <c r="W39" s="63">
        <f t="shared" si="8"/>
        <v>70520</v>
      </c>
      <c r="X39" s="63">
        <f t="shared" si="12"/>
        <v>69040</v>
      </c>
      <c r="Y39" s="68">
        <f t="shared" si="13"/>
        <v>1480</v>
      </c>
      <c r="Z39" s="64" t="str">
        <f t="shared" si="14"/>
        <v>No</v>
      </c>
    </row>
    <row r="40" spans="2:26" ht="18" customHeight="1">
      <c r="B40" s="58" t="str">
        <f t="shared" si="15"/>
        <v>26 ปี 10 เดือน 29 วัน</v>
      </c>
      <c r="C40" s="60">
        <f t="shared" si="9"/>
        <v>50131</v>
      </c>
      <c r="D40" s="39" t="s">
        <v>28</v>
      </c>
      <c r="E40" s="40" t="s">
        <v>20</v>
      </c>
      <c r="F40" s="38">
        <f t="shared" si="10"/>
        <v>69040</v>
      </c>
      <c r="G40" s="36">
        <f t="shared" si="0"/>
        <v>49330</v>
      </c>
      <c r="H40" s="41">
        <v>0.03</v>
      </c>
      <c r="I40" s="37">
        <f t="shared" si="1"/>
        <v>1480</v>
      </c>
      <c r="J40" s="70">
        <f t="shared" si="2"/>
        <v>69040</v>
      </c>
      <c r="K40" s="37">
        <f t="shared" si="3"/>
        <v>5600</v>
      </c>
      <c r="L40" s="37">
        <f t="shared" si="4"/>
        <v>5600</v>
      </c>
      <c r="M40" s="72">
        <f t="shared" si="5"/>
        <v>80240</v>
      </c>
      <c r="N40" s="75" t="str">
        <f t="shared" si="11"/>
        <v>เงินเดือนถึงขั้นสูง</v>
      </c>
      <c r="R40" s="33">
        <f>IF(E40="","",VLOOKUP(E40,Money!$N$10:$P$15,3))</f>
        <v>3</v>
      </c>
      <c r="S40" s="33">
        <f t="shared" si="6"/>
        <v>3</v>
      </c>
      <c r="T40" s="33" t="str">
        <f t="shared" si="7"/>
        <v>คศ.3</v>
      </c>
      <c r="U40" s="63">
        <f>IF(T40="","",VLOOKUP(T40,Money!$N$10:$O$15,2))</f>
        <v>58390</v>
      </c>
      <c r="V40" s="34">
        <f t="array" ref="V40">INDEX(Money!$E$6:$E$17,MATCH(1,INDEX(--(E40=Money!$A$6:$A$17)*((F40&gt;=Money!$C$6:$C$17)+0),),0))</f>
        <v>49330</v>
      </c>
      <c r="W40" s="63">
        <f t="shared" si="8"/>
        <v>70520</v>
      </c>
      <c r="X40" s="63">
        <f t="shared" si="12"/>
        <v>69040</v>
      </c>
      <c r="Y40" s="68">
        <f t="shared" si="13"/>
        <v>1480</v>
      </c>
      <c r="Z40" s="64" t="str">
        <f t="shared" si="14"/>
        <v>No</v>
      </c>
    </row>
    <row r="41" spans="2:26" ht="18" customHeight="1">
      <c r="B41" s="58" t="str">
        <f t="shared" si="15"/>
        <v>27 ปี 4 เดือน 28 วัน</v>
      </c>
      <c r="C41" s="60">
        <f t="shared" si="9"/>
        <v>50314</v>
      </c>
      <c r="D41" s="39" t="s">
        <v>28</v>
      </c>
      <c r="E41" s="40" t="s">
        <v>20</v>
      </c>
      <c r="F41" s="38">
        <f t="shared" si="10"/>
        <v>69040</v>
      </c>
      <c r="G41" s="36">
        <f t="shared" si="0"/>
        <v>49330</v>
      </c>
      <c r="H41" s="41">
        <v>0.03</v>
      </c>
      <c r="I41" s="37">
        <f t="shared" si="1"/>
        <v>1480</v>
      </c>
      <c r="J41" s="70">
        <f t="shared" si="2"/>
        <v>69040</v>
      </c>
      <c r="K41" s="37">
        <f t="shared" si="3"/>
        <v>5600</v>
      </c>
      <c r="L41" s="37">
        <f t="shared" si="4"/>
        <v>5600</v>
      </c>
      <c r="M41" s="72">
        <f t="shared" si="5"/>
        <v>80240</v>
      </c>
      <c r="N41" s="75" t="str">
        <f t="shared" si="11"/>
        <v>เงินเดือนถึงขั้นสูง</v>
      </c>
      <c r="R41" s="33">
        <f>IF(E41="","",VLOOKUP(E41,Money!$N$10:$P$15,3))</f>
        <v>3</v>
      </c>
      <c r="S41" s="33">
        <f t="shared" si="6"/>
        <v>3</v>
      </c>
      <c r="T41" s="33" t="str">
        <f t="shared" si="7"/>
        <v>คศ.3</v>
      </c>
      <c r="U41" s="63">
        <f>IF(T41="","",VLOOKUP(T41,Money!$N$10:$O$15,2))</f>
        <v>58390</v>
      </c>
      <c r="V41" s="34">
        <f t="array" ref="V41">INDEX(Money!$E$6:$E$17,MATCH(1,INDEX(--(E41=Money!$A$6:$A$17)*((F41&gt;=Money!$C$6:$C$17)+0),),0))</f>
        <v>49330</v>
      </c>
      <c r="W41" s="63">
        <f t="shared" si="8"/>
        <v>70520</v>
      </c>
      <c r="X41" s="63">
        <f t="shared" si="12"/>
        <v>69040</v>
      </c>
      <c r="Y41" s="68">
        <f t="shared" si="13"/>
        <v>1480</v>
      </c>
      <c r="Z41" s="64" t="str">
        <f t="shared" si="14"/>
        <v>No</v>
      </c>
    </row>
    <row r="42" spans="2:26" ht="18" customHeight="1">
      <c r="B42" s="58" t="str">
        <f t="shared" si="15"/>
        <v>27 ปี 10 เดือน 29 วัน</v>
      </c>
      <c r="C42" s="60">
        <f t="shared" si="9"/>
        <v>50496</v>
      </c>
      <c r="D42" s="39" t="s">
        <v>28</v>
      </c>
      <c r="E42" s="40" t="s">
        <v>20</v>
      </c>
      <c r="F42" s="38">
        <f t="shared" si="10"/>
        <v>69040</v>
      </c>
      <c r="G42" s="36">
        <f t="shared" ref="G42:G73" si="16">IF($F$5="","",IF(E42="","",V42))</f>
        <v>49330</v>
      </c>
      <c r="H42" s="41">
        <v>0.03</v>
      </c>
      <c r="I42" s="37">
        <f t="shared" ref="I42:I73" si="17">IF($F$5="","",IFERROR(_xlfn.CEILING.MATH(G42*H42,10),""))</f>
        <v>1480</v>
      </c>
      <c r="J42" s="70">
        <f t="shared" ref="J42:J73" si="18">IF(F42="","",X42)</f>
        <v>69040</v>
      </c>
      <c r="K42" s="37">
        <f t="shared" ref="K42:K73" si="19">IF($F$5="","",IF(E42="คศ.2",3500,IF(E42="คศ.3",5600,IF(E42="คศ.4",9900,""))))</f>
        <v>5600</v>
      </c>
      <c r="L42" s="37">
        <f t="shared" ref="L42:L73" si="20">IF($F$5="","",IF(K42="","",IF(K42=3500,"",K42)))</f>
        <v>5600</v>
      </c>
      <c r="M42" s="72">
        <f t="shared" ref="M42:M73" si="21">IF(J42="","",SUM(J42:L42))</f>
        <v>80240</v>
      </c>
      <c r="N42" s="76" t="str">
        <f>IFERROR(IF(Z42="yes","อาศัยเบิกอันดับ "&amp;T42,IF(Y42&gt;0,"เงินเดือนถึงขั้นสูง","")),"")</f>
        <v>เงินเดือนถึงขั้นสูง</v>
      </c>
      <c r="R42" s="33">
        <f>IF(E42="","",VLOOKUP(E42,Money!$N$10:$P$15,3))</f>
        <v>3</v>
      </c>
      <c r="S42" s="33">
        <f t="shared" ref="S42:S73" si="22">IF(Z42="Yes",R42+1,R42)</f>
        <v>3</v>
      </c>
      <c r="T42" s="33" t="str">
        <f t="shared" ref="T42:T73" si="23">IF(E42="","","คศ."&amp;S42)</f>
        <v>คศ.3</v>
      </c>
      <c r="U42" s="63">
        <f>IF(T42="","",VLOOKUP(T42,Money!$N$10:$O$15,2))</f>
        <v>58390</v>
      </c>
      <c r="V42" s="34">
        <f t="array" ref="V42">INDEX(Money!$E$6:$E$17,MATCH(1,INDEX(--(E42=Money!$A$6:$A$17)*((F42&gt;=Money!$C$6:$C$17)+0),),0))</f>
        <v>49330</v>
      </c>
      <c r="W42" s="63">
        <f t="shared" ref="W42:W73" si="24">IFERROR(IF(F42="","",F42+I42),"")</f>
        <v>70520</v>
      </c>
      <c r="X42" s="63">
        <f t="shared" si="12"/>
        <v>69040</v>
      </c>
      <c r="Y42" s="68">
        <f t="shared" si="13"/>
        <v>1480</v>
      </c>
      <c r="Z42" s="64" t="str">
        <f>IF(E42="","",IF(AND(E42="คศ.1",W42&gt;=34310,W42&lt;=41620),"Yes",IF(AND(E42="คศ.2",W42&gt;=41620,W42&lt;=58390),"Yes",IF(AND(E42="คศ.3",W42&gt;=58390,W42&lt;=69040),"Yes",IF(AND(E42="คศ.4",W42&gt;=69040,W42&gt;=76800),"Yes","No")))))</f>
        <v>No</v>
      </c>
    </row>
    <row r="43" spans="2:26" ht="18" customHeight="1">
      <c r="B43" s="58" t="str">
        <f t="shared" si="15"/>
        <v>28 ปี 4 เดือน 28 วัน</v>
      </c>
      <c r="C43" s="60">
        <f t="shared" ref="C43:C74" si="25">IF($F$4="","ยังไม่กรอกวันเลื่อนเดือนล่าสุด",EDATE(C42,6))</f>
        <v>50679</v>
      </c>
      <c r="D43" s="39" t="s">
        <v>28</v>
      </c>
      <c r="E43" s="40" t="s">
        <v>20</v>
      </c>
      <c r="F43" s="38">
        <f t="shared" ref="F43:F74" si="26">IF(E43="","",IF(J42="","",J42))</f>
        <v>69040</v>
      </c>
      <c r="G43" s="36">
        <f t="shared" si="16"/>
        <v>49330</v>
      </c>
      <c r="H43" s="41">
        <v>0.03</v>
      </c>
      <c r="I43" s="37">
        <f t="shared" si="17"/>
        <v>1480</v>
      </c>
      <c r="J43" s="70">
        <f t="shared" si="18"/>
        <v>69040</v>
      </c>
      <c r="K43" s="37">
        <f t="shared" si="19"/>
        <v>5600</v>
      </c>
      <c r="L43" s="37">
        <f t="shared" si="20"/>
        <v>5600</v>
      </c>
      <c r="M43" s="72">
        <f t="shared" si="21"/>
        <v>80240</v>
      </c>
      <c r="N43" s="76" t="str">
        <f t="shared" si="11"/>
        <v>เงินเดือนถึงขั้นสูง</v>
      </c>
      <c r="R43" s="33">
        <f>IF(E43="","",VLOOKUP(E43,Money!$N$10:$P$15,3))</f>
        <v>3</v>
      </c>
      <c r="S43" s="33">
        <f t="shared" si="22"/>
        <v>3</v>
      </c>
      <c r="T43" s="33" t="str">
        <f t="shared" si="23"/>
        <v>คศ.3</v>
      </c>
      <c r="U43" s="63">
        <f>IF(T43="","",VLOOKUP(T43,Money!$N$10:$O$15,2))</f>
        <v>58390</v>
      </c>
      <c r="V43" s="34">
        <f t="array" ref="V43">INDEX(Money!$E$6:$E$17,MATCH(1,INDEX(--(E43=Money!$A$6:$A$17)*((F43&gt;=Money!$C$6:$C$17)+0),),0))</f>
        <v>49330</v>
      </c>
      <c r="W43" s="63">
        <f t="shared" si="24"/>
        <v>70520</v>
      </c>
      <c r="X43" s="63">
        <f t="shared" si="12"/>
        <v>69040</v>
      </c>
      <c r="Y43" s="68">
        <f t="shared" si="13"/>
        <v>1480</v>
      </c>
      <c r="Z43" s="64" t="str">
        <f t="shared" si="14"/>
        <v>No</v>
      </c>
    </row>
    <row r="44" spans="2:26" ht="18" customHeight="1">
      <c r="B44" s="58" t="str">
        <f t="shared" si="15"/>
        <v>28 ปี 10 เดือน 29 วัน</v>
      </c>
      <c r="C44" s="60">
        <f t="shared" si="25"/>
        <v>50861</v>
      </c>
      <c r="D44" s="39" t="s">
        <v>28</v>
      </c>
      <c r="E44" s="40" t="s">
        <v>20</v>
      </c>
      <c r="F44" s="38">
        <f t="shared" si="26"/>
        <v>69040</v>
      </c>
      <c r="G44" s="36">
        <f t="shared" si="16"/>
        <v>49330</v>
      </c>
      <c r="H44" s="41">
        <v>0.03</v>
      </c>
      <c r="I44" s="37">
        <f t="shared" si="17"/>
        <v>1480</v>
      </c>
      <c r="J44" s="70">
        <f t="shared" si="18"/>
        <v>69040</v>
      </c>
      <c r="K44" s="37">
        <f t="shared" si="19"/>
        <v>5600</v>
      </c>
      <c r="L44" s="37">
        <f t="shared" si="20"/>
        <v>5600</v>
      </c>
      <c r="M44" s="72">
        <f t="shared" si="21"/>
        <v>80240</v>
      </c>
      <c r="N44" s="76" t="str">
        <f t="shared" si="11"/>
        <v>เงินเดือนถึงขั้นสูง</v>
      </c>
      <c r="R44" s="33">
        <f>IF(E44="","",VLOOKUP(E44,Money!$N$10:$P$15,3))</f>
        <v>3</v>
      </c>
      <c r="S44" s="33">
        <f t="shared" si="22"/>
        <v>3</v>
      </c>
      <c r="T44" s="33" t="str">
        <f t="shared" si="23"/>
        <v>คศ.3</v>
      </c>
      <c r="U44" s="63">
        <f>IF(T44="","",VLOOKUP(T44,Money!$N$10:$O$15,2))</f>
        <v>58390</v>
      </c>
      <c r="V44" s="34">
        <f t="array" ref="V44">INDEX(Money!$E$6:$E$17,MATCH(1,INDEX(--(E44=Money!$A$6:$A$17)*((F44&gt;=Money!$C$6:$C$17)+0),),0))</f>
        <v>49330</v>
      </c>
      <c r="W44" s="63">
        <f t="shared" si="24"/>
        <v>70520</v>
      </c>
      <c r="X44" s="63">
        <f t="shared" si="12"/>
        <v>69040</v>
      </c>
      <c r="Y44" s="68">
        <f t="shared" si="13"/>
        <v>1480</v>
      </c>
      <c r="Z44" s="64" t="str">
        <f t="shared" si="14"/>
        <v>No</v>
      </c>
    </row>
    <row r="45" spans="2:26" ht="18" customHeight="1">
      <c r="B45" s="58" t="str">
        <f t="shared" si="15"/>
        <v>29 ปี 4 เดือน 28 วัน</v>
      </c>
      <c r="C45" s="60">
        <f t="shared" si="25"/>
        <v>51044</v>
      </c>
      <c r="D45" s="39" t="s">
        <v>28</v>
      </c>
      <c r="E45" s="40" t="s">
        <v>20</v>
      </c>
      <c r="F45" s="38">
        <f t="shared" si="26"/>
        <v>69040</v>
      </c>
      <c r="G45" s="36">
        <f t="shared" si="16"/>
        <v>49330</v>
      </c>
      <c r="H45" s="41">
        <v>0.03</v>
      </c>
      <c r="I45" s="37">
        <f t="shared" si="17"/>
        <v>1480</v>
      </c>
      <c r="J45" s="70">
        <f t="shared" si="18"/>
        <v>69040</v>
      </c>
      <c r="K45" s="37">
        <f t="shared" si="19"/>
        <v>5600</v>
      </c>
      <c r="L45" s="37">
        <f t="shared" si="20"/>
        <v>5600</v>
      </c>
      <c r="M45" s="72">
        <f t="shared" si="21"/>
        <v>80240</v>
      </c>
      <c r="N45" s="76" t="str">
        <f t="shared" si="11"/>
        <v>เงินเดือนถึงขั้นสูง</v>
      </c>
      <c r="R45" s="33">
        <f>IF(E45="","",VLOOKUP(E45,Money!$N$10:$P$15,3))</f>
        <v>3</v>
      </c>
      <c r="S45" s="33">
        <f t="shared" si="22"/>
        <v>3</v>
      </c>
      <c r="T45" s="33" t="str">
        <f t="shared" si="23"/>
        <v>คศ.3</v>
      </c>
      <c r="U45" s="63">
        <f>IF(T45="","",VLOOKUP(T45,Money!$N$10:$O$15,2))</f>
        <v>58390</v>
      </c>
      <c r="V45" s="34">
        <f t="array" ref="V45">INDEX(Money!$E$6:$E$17,MATCH(1,INDEX(--(E45=Money!$A$6:$A$17)*((F45&gt;=Money!$C$6:$C$17)+0),),0))</f>
        <v>49330</v>
      </c>
      <c r="W45" s="63">
        <f t="shared" si="24"/>
        <v>70520</v>
      </c>
      <c r="X45" s="63">
        <f t="shared" si="12"/>
        <v>69040</v>
      </c>
      <c r="Y45" s="68">
        <f t="shared" si="13"/>
        <v>1480</v>
      </c>
      <c r="Z45" s="64" t="str">
        <f t="shared" si="14"/>
        <v>No</v>
      </c>
    </row>
    <row r="46" spans="2:26" ht="18" customHeight="1">
      <c r="B46" s="58" t="str">
        <f t="shared" si="15"/>
        <v>29 ปี 10 เดือน 29 วัน</v>
      </c>
      <c r="C46" s="60">
        <f t="shared" si="25"/>
        <v>51227</v>
      </c>
      <c r="D46" s="39" t="s">
        <v>28</v>
      </c>
      <c r="E46" s="40" t="s">
        <v>20</v>
      </c>
      <c r="F46" s="38">
        <f t="shared" si="26"/>
        <v>69040</v>
      </c>
      <c r="G46" s="36">
        <f t="shared" si="16"/>
        <v>49330</v>
      </c>
      <c r="H46" s="41">
        <v>0.03</v>
      </c>
      <c r="I46" s="37">
        <f t="shared" si="17"/>
        <v>1480</v>
      </c>
      <c r="J46" s="70">
        <f t="shared" si="18"/>
        <v>69040</v>
      </c>
      <c r="K46" s="37">
        <f t="shared" si="19"/>
        <v>5600</v>
      </c>
      <c r="L46" s="37">
        <f t="shared" si="20"/>
        <v>5600</v>
      </c>
      <c r="M46" s="72">
        <f t="shared" si="21"/>
        <v>80240</v>
      </c>
      <c r="N46" s="76" t="str">
        <f t="shared" si="11"/>
        <v>เงินเดือนถึงขั้นสูง</v>
      </c>
      <c r="R46" s="33">
        <f>IF(E46="","",VLOOKUP(E46,Money!$N$10:$P$15,3))</f>
        <v>3</v>
      </c>
      <c r="S46" s="33">
        <f t="shared" si="22"/>
        <v>3</v>
      </c>
      <c r="T46" s="33" t="str">
        <f t="shared" si="23"/>
        <v>คศ.3</v>
      </c>
      <c r="U46" s="63">
        <f>IF(T46="","",VLOOKUP(T46,Money!$N$10:$O$15,2))</f>
        <v>58390</v>
      </c>
      <c r="V46" s="34">
        <f t="array" ref="V46">INDEX(Money!$E$6:$E$17,MATCH(1,INDEX(--(E46=Money!$A$6:$A$17)*((F46&gt;=Money!$C$6:$C$17)+0),),0))</f>
        <v>49330</v>
      </c>
      <c r="W46" s="63">
        <f t="shared" si="24"/>
        <v>70520</v>
      </c>
      <c r="X46" s="63">
        <f t="shared" si="12"/>
        <v>69040</v>
      </c>
      <c r="Y46" s="68">
        <f t="shared" si="13"/>
        <v>1480</v>
      </c>
      <c r="Z46" s="64" t="str">
        <f t="shared" si="14"/>
        <v>No</v>
      </c>
    </row>
    <row r="47" spans="2:26" ht="18" customHeight="1">
      <c r="B47" s="58" t="str">
        <f t="shared" si="15"/>
        <v>30 ปี 4 เดือน 28 วัน</v>
      </c>
      <c r="C47" s="60">
        <f t="shared" si="25"/>
        <v>51410</v>
      </c>
      <c r="D47" s="39" t="s">
        <v>28</v>
      </c>
      <c r="E47" s="40" t="s">
        <v>20</v>
      </c>
      <c r="F47" s="38">
        <f t="shared" si="26"/>
        <v>69040</v>
      </c>
      <c r="G47" s="36">
        <f t="shared" si="16"/>
        <v>49330</v>
      </c>
      <c r="H47" s="41">
        <v>0.03</v>
      </c>
      <c r="I47" s="37">
        <f t="shared" si="17"/>
        <v>1480</v>
      </c>
      <c r="J47" s="70">
        <f t="shared" si="18"/>
        <v>69040</v>
      </c>
      <c r="K47" s="37">
        <f t="shared" si="19"/>
        <v>5600</v>
      </c>
      <c r="L47" s="37">
        <f t="shared" si="20"/>
        <v>5600</v>
      </c>
      <c r="M47" s="72">
        <f t="shared" si="21"/>
        <v>80240</v>
      </c>
      <c r="N47" s="76" t="str">
        <f>IFERROR(IF(Z47="yes","อาศัยเบิกอันดับ "&amp;T47,IF(Y47&gt;0,"เงินเดือนถึงขั้นสูง","")),"")</f>
        <v>เงินเดือนถึงขั้นสูง</v>
      </c>
      <c r="R47" s="33">
        <f>IF(E47="","",VLOOKUP(E47,Money!$N$10:$P$15,3))</f>
        <v>3</v>
      </c>
      <c r="S47" s="33">
        <f t="shared" si="22"/>
        <v>3</v>
      </c>
      <c r="T47" s="33" t="str">
        <f t="shared" si="23"/>
        <v>คศ.3</v>
      </c>
      <c r="U47" s="63">
        <f>IF(T47="","",VLOOKUP(T47,Money!$N$10:$O$15,2))</f>
        <v>58390</v>
      </c>
      <c r="V47" s="34">
        <f t="array" ref="V47">INDEX(Money!$E$6:$E$17,MATCH(1,INDEX(--(E47=Money!$A$6:$A$17)*((F47&gt;=Money!$C$6:$C$17)+0),),0))</f>
        <v>49330</v>
      </c>
      <c r="W47" s="63">
        <f t="shared" si="24"/>
        <v>70520</v>
      </c>
      <c r="X47" s="63">
        <f t="shared" si="12"/>
        <v>69040</v>
      </c>
      <c r="Y47" s="68">
        <f>W47-X47</f>
        <v>1480</v>
      </c>
      <c r="Z47" s="64" t="str">
        <f t="shared" si="14"/>
        <v>No</v>
      </c>
    </row>
    <row r="48" spans="2:26" ht="18" customHeight="1">
      <c r="B48" s="58" t="str">
        <f t="shared" si="15"/>
        <v>30 ปี 10 เดือน 29 วัน</v>
      </c>
      <c r="C48" s="60">
        <f t="shared" si="25"/>
        <v>51592</v>
      </c>
      <c r="D48" s="39" t="s">
        <v>28</v>
      </c>
      <c r="E48" s="40" t="s">
        <v>20</v>
      </c>
      <c r="F48" s="38">
        <f t="shared" si="26"/>
        <v>69040</v>
      </c>
      <c r="G48" s="36">
        <f t="shared" si="16"/>
        <v>49330</v>
      </c>
      <c r="H48" s="41">
        <v>0.03</v>
      </c>
      <c r="I48" s="37">
        <f t="shared" si="17"/>
        <v>1480</v>
      </c>
      <c r="J48" s="70">
        <f t="shared" si="18"/>
        <v>69040</v>
      </c>
      <c r="K48" s="37">
        <f t="shared" si="19"/>
        <v>5600</v>
      </c>
      <c r="L48" s="37">
        <f t="shared" si="20"/>
        <v>5600</v>
      </c>
      <c r="M48" s="72">
        <f t="shared" si="21"/>
        <v>80240</v>
      </c>
      <c r="N48" s="76" t="str">
        <f t="shared" si="11"/>
        <v>เงินเดือนถึงขั้นสูง</v>
      </c>
      <c r="R48" s="33">
        <f>IF(E48="","",VLOOKUP(E48,Money!$N$10:$P$15,3))</f>
        <v>3</v>
      </c>
      <c r="S48" s="33">
        <f t="shared" si="22"/>
        <v>3</v>
      </c>
      <c r="T48" s="33" t="str">
        <f t="shared" si="23"/>
        <v>คศ.3</v>
      </c>
      <c r="U48" s="63">
        <f>IF(T48="","",VLOOKUP(T48,Money!$N$10:$O$15,2))</f>
        <v>58390</v>
      </c>
      <c r="V48" s="34">
        <f t="array" ref="V48">INDEX(Money!$E$6:$E$17,MATCH(1,INDEX(--(E48=Money!$A$6:$A$17)*((F48&gt;=Money!$C$6:$C$17)+0),),0))</f>
        <v>49330</v>
      </c>
      <c r="W48" s="63">
        <f t="shared" si="24"/>
        <v>70520</v>
      </c>
      <c r="X48" s="63">
        <f t="shared" si="12"/>
        <v>69040</v>
      </c>
      <c r="Y48" s="68">
        <f t="shared" si="13"/>
        <v>1480</v>
      </c>
      <c r="Z48" s="64" t="str">
        <f t="shared" si="14"/>
        <v>No</v>
      </c>
    </row>
    <row r="49" spans="2:26" ht="18" customHeight="1">
      <c r="B49" s="58" t="str">
        <f t="shared" si="15"/>
        <v>31 ปี 4 เดือน 28 วัน</v>
      </c>
      <c r="C49" s="60">
        <f t="shared" si="25"/>
        <v>51775</v>
      </c>
      <c r="D49" s="39" t="s">
        <v>28</v>
      </c>
      <c r="E49" s="40" t="s">
        <v>20</v>
      </c>
      <c r="F49" s="38">
        <f t="shared" si="26"/>
        <v>69040</v>
      </c>
      <c r="G49" s="36">
        <f t="shared" si="16"/>
        <v>49330</v>
      </c>
      <c r="H49" s="41">
        <v>0.03</v>
      </c>
      <c r="I49" s="37">
        <f t="shared" si="17"/>
        <v>1480</v>
      </c>
      <c r="J49" s="70">
        <f t="shared" si="18"/>
        <v>69040</v>
      </c>
      <c r="K49" s="37">
        <f t="shared" si="19"/>
        <v>5600</v>
      </c>
      <c r="L49" s="37">
        <f t="shared" si="20"/>
        <v>5600</v>
      </c>
      <c r="M49" s="72">
        <f t="shared" si="21"/>
        <v>80240</v>
      </c>
      <c r="N49" s="76" t="str">
        <f t="shared" si="11"/>
        <v>เงินเดือนถึงขั้นสูง</v>
      </c>
      <c r="R49" s="33">
        <f>IF(E49="","",VLOOKUP(E49,Money!$N$10:$P$15,3))</f>
        <v>3</v>
      </c>
      <c r="S49" s="33">
        <f t="shared" si="22"/>
        <v>3</v>
      </c>
      <c r="T49" s="33" t="str">
        <f t="shared" si="23"/>
        <v>คศ.3</v>
      </c>
      <c r="U49" s="63">
        <f>IF(T49="","",VLOOKUP(T49,Money!$N$10:$O$15,2))</f>
        <v>58390</v>
      </c>
      <c r="V49" s="34">
        <f t="array" ref="V49">INDEX(Money!$E$6:$E$17,MATCH(1,INDEX(--(E49=Money!$A$6:$A$17)*((F49&gt;=Money!$C$6:$C$17)+0),),0))</f>
        <v>49330</v>
      </c>
      <c r="W49" s="63">
        <f t="shared" si="24"/>
        <v>70520</v>
      </c>
      <c r="X49" s="63">
        <f t="shared" si="12"/>
        <v>69040</v>
      </c>
      <c r="Y49" s="68">
        <f t="shared" si="13"/>
        <v>1480</v>
      </c>
      <c r="Z49" s="64" t="str">
        <f t="shared" si="14"/>
        <v>No</v>
      </c>
    </row>
    <row r="50" spans="2:26" ht="18" customHeight="1">
      <c r="B50" s="58" t="str">
        <f t="shared" si="15"/>
        <v>31 ปี 10 เดือน 29 วัน</v>
      </c>
      <c r="C50" s="60">
        <f t="shared" si="25"/>
        <v>51957</v>
      </c>
      <c r="D50" s="39" t="s">
        <v>28</v>
      </c>
      <c r="E50" s="40" t="s">
        <v>20</v>
      </c>
      <c r="F50" s="38">
        <f t="shared" si="26"/>
        <v>69040</v>
      </c>
      <c r="G50" s="36">
        <f t="shared" si="16"/>
        <v>49330</v>
      </c>
      <c r="H50" s="41">
        <v>0.03</v>
      </c>
      <c r="I50" s="37">
        <f t="shared" si="17"/>
        <v>1480</v>
      </c>
      <c r="J50" s="70">
        <f t="shared" si="18"/>
        <v>69040</v>
      </c>
      <c r="K50" s="37">
        <f t="shared" si="19"/>
        <v>5600</v>
      </c>
      <c r="L50" s="37">
        <f t="shared" si="20"/>
        <v>5600</v>
      </c>
      <c r="M50" s="72">
        <f t="shared" si="21"/>
        <v>80240</v>
      </c>
      <c r="N50" s="76" t="str">
        <f t="shared" si="11"/>
        <v>เงินเดือนถึงขั้นสูง</v>
      </c>
      <c r="R50" s="33">
        <f>IF(E50="","",VLOOKUP(E50,Money!$N$10:$P$15,3))</f>
        <v>3</v>
      </c>
      <c r="S50" s="33">
        <f t="shared" si="22"/>
        <v>3</v>
      </c>
      <c r="T50" s="33" t="str">
        <f t="shared" si="23"/>
        <v>คศ.3</v>
      </c>
      <c r="U50" s="63">
        <f>IF(T50="","",VLOOKUP(T50,Money!$N$10:$O$15,2))</f>
        <v>58390</v>
      </c>
      <c r="V50" s="34">
        <f t="array" ref="V50">INDEX(Money!$E$6:$E$17,MATCH(1,INDEX(--(E50=Money!$A$6:$A$17)*((F50&gt;=Money!$C$6:$C$17)+0),),0))</f>
        <v>49330</v>
      </c>
      <c r="W50" s="63">
        <f t="shared" si="24"/>
        <v>70520</v>
      </c>
      <c r="X50" s="63">
        <f t="shared" si="12"/>
        <v>69040</v>
      </c>
      <c r="Y50" s="68">
        <f t="shared" si="13"/>
        <v>1480</v>
      </c>
      <c r="Z50" s="64" t="str">
        <f t="shared" si="14"/>
        <v>No</v>
      </c>
    </row>
    <row r="51" spans="2:26" ht="18" customHeight="1">
      <c r="B51" s="58" t="str">
        <f t="shared" si="15"/>
        <v>32 ปี 4 เดือน 28 วัน</v>
      </c>
      <c r="C51" s="60">
        <f t="shared" si="25"/>
        <v>52140</v>
      </c>
      <c r="D51" s="39" t="s">
        <v>28</v>
      </c>
      <c r="E51" s="40" t="s">
        <v>20</v>
      </c>
      <c r="F51" s="38">
        <f t="shared" si="26"/>
        <v>69040</v>
      </c>
      <c r="G51" s="36">
        <f t="shared" si="16"/>
        <v>49330</v>
      </c>
      <c r="H51" s="41">
        <v>0.03</v>
      </c>
      <c r="I51" s="37">
        <f t="shared" si="17"/>
        <v>1480</v>
      </c>
      <c r="J51" s="70">
        <f t="shared" si="18"/>
        <v>69040</v>
      </c>
      <c r="K51" s="37">
        <f t="shared" si="19"/>
        <v>5600</v>
      </c>
      <c r="L51" s="37">
        <f t="shared" si="20"/>
        <v>5600</v>
      </c>
      <c r="M51" s="72">
        <f t="shared" si="21"/>
        <v>80240</v>
      </c>
      <c r="N51" s="76" t="str">
        <f t="shared" si="11"/>
        <v>เงินเดือนถึงขั้นสูง</v>
      </c>
      <c r="R51" s="33">
        <f>IF(E51="","",VLOOKUP(E51,Money!$N$10:$P$15,3))</f>
        <v>3</v>
      </c>
      <c r="S51" s="33">
        <f t="shared" si="22"/>
        <v>3</v>
      </c>
      <c r="T51" s="33" t="str">
        <f t="shared" si="23"/>
        <v>คศ.3</v>
      </c>
      <c r="U51" s="63">
        <f>IF(T51="","",VLOOKUP(T51,Money!$N$10:$O$15,2))</f>
        <v>58390</v>
      </c>
      <c r="V51" s="34">
        <f t="array" ref="V51">INDEX(Money!$E$6:$E$17,MATCH(1,INDEX(--(E51=Money!$A$6:$A$17)*((F51&gt;=Money!$C$6:$C$17)+0),),0))</f>
        <v>49330</v>
      </c>
      <c r="W51" s="63">
        <f t="shared" si="24"/>
        <v>70520</v>
      </c>
      <c r="X51" s="63">
        <f t="shared" si="12"/>
        <v>69040</v>
      </c>
      <c r="Y51" s="68">
        <f t="shared" si="13"/>
        <v>1480</v>
      </c>
      <c r="Z51" s="64" t="str">
        <f t="shared" si="14"/>
        <v>No</v>
      </c>
    </row>
    <row r="52" spans="2:26" ht="18" customHeight="1">
      <c r="B52" s="58" t="str">
        <f t="shared" si="15"/>
        <v>32 ปี 10 เดือน 29 วัน</v>
      </c>
      <c r="C52" s="60">
        <f t="shared" si="25"/>
        <v>52322</v>
      </c>
      <c r="D52" s="39" t="s">
        <v>28</v>
      </c>
      <c r="E52" s="40" t="s">
        <v>20</v>
      </c>
      <c r="F52" s="38">
        <f t="shared" si="26"/>
        <v>69040</v>
      </c>
      <c r="G52" s="36">
        <f t="shared" si="16"/>
        <v>49330</v>
      </c>
      <c r="H52" s="41">
        <v>0.03</v>
      </c>
      <c r="I52" s="37">
        <f t="shared" si="17"/>
        <v>1480</v>
      </c>
      <c r="J52" s="70">
        <f t="shared" si="18"/>
        <v>69040</v>
      </c>
      <c r="K52" s="37">
        <f t="shared" si="19"/>
        <v>5600</v>
      </c>
      <c r="L52" s="37">
        <f t="shared" si="20"/>
        <v>5600</v>
      </c>
      <c r="M52" s="72">
        <f t="shared" si="21"/>
        <v>80240</v>
      </c>
      <c r="N52" s="76" t="str">
        <f t="shared" si="11"/>
        <v>เงินเดือนถึงขั้นสูง</v>
      </c>
      <c r="R52" s="33">
        <f>IF(E52="","",VLOOKUP(E52,Money!$N$10:$P$15,3))</f>
        <v>3</v>
      </c>
      <c r="S52" s="33">
        <f>IF(Z52="Yes",R52+1,R52)</f>
        <v>3</v>
      </c>
      <c r="T52" s="33" t="str">
        <f t="shared" si="23"/>
        <v>คศ.3</v>
      </c>
      <c r="U52" s="63">
        <f>IF(T52="","",VLOOKUP(T52,Money!$N$10:$O$15,2))</f>
        <v>58390</v>
      </c>
      <c r="V52" s="34">
        <f t="array" ref="V52">INDEX(Money!$E$6:$E$17,MATCH(1,INDEX(--(E52=Money!$A$6:$A$17)*((F52&gt;=Money!$C$6:$C$17)+0),),0))</f>
        <v>49330</v>
      </c>
      <c r="W52" s="63">
        <f t="shared" si="24"/>
        <v>70520</v>
      </c>
      <c r="X52" s="63">
        <f t="shared" si="12"/>
        <v>69040</v>
      </c>
      <c r="Y52" s="68">
        <f t="shared" si="13"/>
        <v>1480</v>
      </c>
      <c r="Z52" s="64" t="str">
        <f>IF(E52="","",IF(AND(E52="คศ.1",W52&gt;=34310,W52&lt;=41620),"Yes",IF(AND(E52="คศ.2",W52&gt;=41620,W52&lt;=58390),"Yes",IF(AND(E52="คศ.3",W52&gt;=58390,W52&lt;=69040),"Yes",IF(AND(E52="คศ.4",W52&gt;=69040,W52&gt;=76800),"Yes","No")))))</f>
        <v>No</v>
      </c>
    </row>
    <row r="53" spans="2:26" ht="18" customHeight="1">
      <c r="B53" s="58" t="str">
        <f t="shared" si="15"/>
        <v>33 ปี 4 เดือน 28 วัน</v>
      </c>
      <c r="C53" s="60">
        <f t="shared" si="25"/>
        <v>52505</v>
      </c>
      <c r="D53" s="39" t="s">
        <v>28</v>
      </c>
      <c r="E53" s="40" t="s">
        <v>20</v>
      </c>
      <c r="F53" s="38">
        <f t="shared" si="26"/>
        <v>69040</v>
      </c>
      <c r="G53" s="36">
        <f t="shared" si="16"/>
        <v>49330</v>
      </c>
      <c r="H53" s="41">
        <v>0.03</v>
      </c>
      <c r="I53" s="37">
        <f t="shared" si="17"/>
        <v>1480</v>
      </c>
      <c r="J53" s="70">
        <f t="shared" si="18"/>
        <v>69040</v>
      </c>
      <c r="K53" s="37">
        <f t="shared" si="19"/>
        <v>5600</v>
      </c>
      <c r="L53" s="37">
        <f t="shared" si="20"/>
        <v>5600</v>
      </c>
      <c r="M53" s="72">
        <f t="shared" si="21"/>
        <v>80240</v>
      </c>
      <c r="N53" s="76" t="str">
        <f t="shared" si="11"/>
        <v>เงินเดือนถึงขั้นสูง</v>
      </c>
      <c r="R53" s="33">
        <f>IF(E53="","",VLOOKUP(E53,Money!$N$10:$P$15,3))</f>
        <v>3</v>
      </c>
      <c r="S53" s="33">
        <f t="shared" si="22"/>
        <v>3</v>
      </c>
      <c r="T53" s="33" t="str">
        <f t="shared" si="23"/>
        <v>คศ.3</v>
      </c>
      <c r="U53" s="63">
        <f>IF(T53="","",VLOOKUP(T53,Money!$N$10:$O$15,2))</f>
        <v>58390</v>
      </c>
      <c r="V53" s="34">
        <f t="array" ref="V53">INDEX(Money!$E$6:$E$17,MATCH(1,INDEX(--(E53=Money!$A$6:$A$17)*((F53&gt;=Money!$C$6:$C$17)+0),),0))</f>
        <v>49330</v>
      </c>
      <c r="W53" s="63">
        <f t="shared" si="24"/>
        <v>70520</v>
      </c>
      <c r="X53" s="63">
        <f t="shared" si="12"/>
        <v>69040</v>
      </c>
      <c r="Y53" s="68">
        <f t="shared" si="13"/>
        <v>1480</v>
      </c>
      <c r="Z53" s="64" t="str">
        <f t="shared" si="14"/>
        <v>No</v>
      </c>
    </row>
    <row r="54" spans="2:26" ht="18" customHeight="1">
      <c r="B54" s="58" t="str">
        <f t="shared" si="15"/>
        <v>33 ปี 10 เดือน 29 วัน</v>
      </c>
      <c r="C54" s="60">
        <f t="shared" si="25"/>
        <v>52688</v>
      </c>
      <c r="D54" s="39" t="s">
        <v>28</v>
      </c>
      <c r="E54" s="40" t="s">
        <v>20</v>
      </c>
      <c r="F54" s="38">
        <f t="shared" si="26"/>
        <v>69040</v>
      </c>
      <c r="G54" s="36">
        <f t="shared" si="16"/>
        <v>49330</v>
      </c>
      <c r="H54" s="41">
        <v>0.03</v>
      </c>
      <c r="I54" s="37">
        <f t="shared" si="17"/>
        <v>1480</v>
      </c>
      <c r="J54" s="70">
        <f t="shared" si="18"/>
        <v>69040</v>
      </c>
      <c r="K54" s="37">
        <f t="shared" si="19"/>
        <v>5600</v>
      </c>
      <c r="L54" s="37">
        <f t="shared" si="20"/>
        <v>5600</v>
      </c>
      <c r="M54" s="72">
        <f t="shared" si="21"/>
        <v>80240</v>
      </c>
      <c r="N54" s="76" t="str">
        <f t="shared" si="11"/>
        <v>เงินเดือนถึงขั้นสูง</v>
      </c>
      <c r="R54" s="33">
        <f>IF(E54="","",VLOOKUP(E54,Money!$N$10:$P$15,3))</f>
        <v>3</v>
      </c>
      <c r="S54" s="33">
        <f t="shared" si="22"/>
        <v>3</v>
      </c>
      <c r="T54" s="33" t="str">
        <f t="shared" si="23"/>
        <v>คศ.3</v>
      </c>
      <c r="U54" s="63">
        <f>IF(T54="","",VLOOKUP(T54,Money!$N$10:$O$15,2))</f>
        <v>58390</v>
      </c>
      <c r="V54" s="34">
        <f t="array" ref="V54">INDEX(Money!$E$6:$E$17,MATCH(1,INDEX(--(E54=Money!$A$6:$A$17)*((F54&gt;=Money!$C$6:$C$17)+0),),0))</f>
        <v>49330</v>
      </c>
      <c r="W54" s="63">
        <f t="shared" si="24"/>
        <v>70520</v>
      </c>
      <c r="X54" s="63">
        <f t="shared" si="12"/>
        <v>69040</v>
      </c>
      <c r="Y54" s="68">
        <f t="shared" si="13"/>
        <v>1480</v>
      </c>
      <c r="Z54" s="64" t="str">
        <f t="shared" si="14"/>
        <v>No</v>
      </c>
    </row>
    <row r="55" spans="2:26" ht="18" customHeight="1">
      <c r="B55" s="58" t="str">
        <f t="shared" si="15"/>
        <v>34 ปี 4 เดือน 28 วัน</v>
      </c>
      <c r="C55" s="60">
        <f t="shared" si="25"/>
        <v>52871</v>
      </c>
      <c r="D55" s="39" t="s">
        <v>28</v>
      </c>
      <c r="E55" s="40" t="s">
        <v>20</v>
      </c>
      <c r="F55" s="38">
        <f t="shared" si="26"/>
        <v>69040</v>
      </c>
      <c r="G55" s="36">
        <f t="shared" si="16"/>
        <v>49330</v>
      </c>
      <c r="H55" s="41">
        <v>0.03</v>
      </c>
      <c r="I55" s="37">
        <f t="shared" si="17"/>
        <v>1480</v>
      </c>
      <c r="J55" s="70">
        <f t="shared" si="18"/>
        <v>69040</v>
      </c>
      <c r="K55" s="37">
        <f t="shared" si="19"/>
        <v>5600</v>
      </c>
      <c r="L55" s="37">
        <f t="shared" si="20"/>
        <v>5600</v>
      </c>
      <c r="M55" s="72">
        <f t="shared" si="21"/>
        <v>80240</v>
      </c>
      <c r="N55" s="76" t="str">
        <f t="shared" si="11"/>
        <v>เงินเดือนถึงขั้นสูง</v>
      </c>
      <c r="R55" s="33">
        <f>IF(E55="","",VLOOKUP(E55,Money!$N$10:$P$15,3))</f>
        <v>3</v>
      </c>
      <c r="S55" s="33">
        <f t="shared" si="22"/>
        <v>3</v>
      </c>
      <c r="T55" s="33" t="str">
        <f t="shared" si="23"/>
        <v>คศ.3</v>
      </c>
      <c r="U55" s="63">
        <f>IF(T55="","",VLOOKUP(T55,Money!$N$10:$O$15,2))</f>
        <v>58390</v>
      </c>
      <c r="V55" s="34">
        <f t="array" ref="V55">INDEX(Money!$E$6:$E$17,MATCH(1,INDEX(--(E55=Money!$A$6:$A$17)*((F55&gt;=Money!$C$6:$C$17)+0),),0))</f>
        <v>49330</v>
      </c>
      <c r="W55" s="63">
        <f t="shared" si="24"/>
        <v>70520</v>
      </c>
      <c r="X55" s="63">
        <f t="shared" si="12"/>
        <v>69040</v>
      </c>
      <c r="Y55" s="68">
        <f t="shared" si="13"/>
        <v>1480</v>
      </c>
      <c r="Z55" s="64" t="str">
        <f t="shared" si="14"/>
        <v>No</v>
      </c>
    </row>
    <row r="56" spans="2:26" ht="18" customHeight="1">
      <c r="B56" s="58" t="str">
        <f t="shared" si="15"/>
        <v>34 ปี 10 เดือน 29 วัน</v>
      </c>
      <c r="C56" s="60">
        <f t="shared" si="25"/>
        <v>53053</v>
      </c>
      <c r="D56" s="39" t="s">
        <v>28</v>
      </c>
      <c r="E56" s="40" t="s">
        <v>20</v>
      </c>
      <c r="F56" s="38">
        <f t="shared" si="26"/>
        <v>69040</v>
      </c>
      <c r="G56" s="36">
        <f t="shared" si="16"/>
        <v>49330</v>
      </c>
      <c r="H56" s="41">
        <v>0.03</v>
      </c>
      <c r="I56" s="37">
        <f t="shared" si="17"/>
        <v>1480</v>
      </c>
      <c r="J56" s="70">
        <f t="shared" si="18"/>
        <v>69040</v>
      </c>
      <c r="K56" s="37">
        <f t="shared" si="19"/>
        <v>5600</v>
      </c>
      <c r="L56" s="37">
        <f t="shared" si="20"/>
        <v>5600</v>
      </c>
      <c r="M56" s="72">
        <f t="shared" si="21"/>
        <v>80240</v>
      </c>
      <c r="N56" s="76" t="str">
        <f t="shared" si="11"/>
        <v>เงินเดือนถึงขั้นสูง</v>
      </c>
      <c r="R56" s="33">
        <f>IF(E56="","",VLOOKUP(E56,Money!$N$10:$P$15,3))</f>
        <v>3</v>
      </c>
      <c r="S56" s="33">
        <f t="shared" si="22"/>
        <v>3</v>
      </c>
      <c r="T56" s="33" t="str">
        <f t="shared" si="23"/>
        <v>คศ.3</v>
      </c>
      <c r="U56" s="63">
        <f>IF(T56="","",VLOOKUP(T56,Money!$N$10:$O$15,2))</f>
        <v>58390</v>
      </c>
      <c r="V56" s="34">
        <f t="array" ref="V56">INDEX(Money!$E$6:$E$17,MATCH(1,INDEX(--(E56=Money!$A$6:$A$17)*((F56&gt;=Money!$C$6:$C$17)+0),),0))</f>
        <v>49330</v>
      </c>
      <c r="W56" s="63">
        <f t="shared" si="24"/>
        <v>70520</v>
      </c>
      <c r="X56" s="63">
        <f t="shared" si="12"/>
        <v>69040</v>
      </c>
      <c r="Y56" s="68">
        <f t="shared" si="13"/>
        <v>1480</v>
      </c>
      <c r="Z56" s="64" t="str">
        <f>IF(E56="","",IF(AND(E56="คศ.1",W56&gt;=34310,W56&lt;=41620),"Yes",IF(AND(E56="คศ.2",W56&gt;=41620,W56&lt;=58390),"Yes",IF(AND(E56="คศ.3",W56&gt;=58390,W56&lt;=69040),"Yes",IF(AND(E56="คศ.4",W56&gt;=69040,W56&gt;=76800),"Yes","No")))))</f>
        <v>No</v>
      </c>
    </row>
    <row r="57" spans="2:26" ht="18" customHeight="1">
      <c r="B57" s="58" t="str">
        <f t="shared" si="15"/>
        <v>35 ปี 4 เดือน 28 วัน</v>
      </c>
      <c r="C57" s="60">
        <f t="shared" si="25"/>
        <v>53236</v>
      </c>
      <c r="D57" s="39" t="s">
        <v>28</v>
      </c>
      <c r="E57" s="40" t="s">
        <v>20</v>
      </c>
      <c r="F57" s="38">
        <f t="shared" si="26"/>
        <v>69040</v>
      </c>
      <c r="G57" s="36">
        <f t="shared" si="16"/>
        <v>49330</v>
      </c>
      <c r="H57" s="41">
        <v>0.03</v>
      </c>
      <c r="I57" s="37">
        <f t="shared" si="17"/>
        <v>1480</v>
      </c>
      <c r="J57" s="70">
        <f t="shared" si="18"/>
        <v>69040</v>
      </c>
      <c r="K57" s="37">
        <f t="shared" si="19"/>
        <v>5600</v>
      </c>
      <c r="L57" s="37">
        <f t="shared" si="20"/>
        <v>5600</v>
      </c>
      <c r="M57" s="72">
        <f t="shared" si="21"/>
        <v>80240</v>
      </c>
      <c r="N57" s="76" t="str">
        <f t="shared" si="11"/>
        <v>เงินเดือนถึงขั้นสูง</v>
      </c>
      <c r="R57" s="33">
        <f>IF(E57="","",VLOOKUP(E57,Money!$N$10:$P$15,3))</f>
        <v>3</v>
      </c>
      <c r="S57" s="33">
        <f t="shared" si="22"/>
        <v>3</v>
      </c>
      <c r="T57" s="33" t="str">
        <f t="shared" si="23"/>
        <v>คศ.3</v>
      </c>
      <c r="U57" s="63">
        <f>IF(T57="","",VLOOKUP(T57,Money!$N$10:$O$15,2))</f>
        <v>58390</v>
      </c>
      <c r="V57" s="34">
        <f t="array" ref="V57">INDEX(Money!$E$6:$E$17,MATCH(1,INDEX(--(E57=Money!$A$6:$A$17)*((F57&gt;=Money!$C$6:$C$17)+0),),0))</f>
        <v>49330</v>
      </c>
      <c r="W57" s="63">
        <f t="shared" si="24"/>
        <v>70520</v>
      </c>
      <c r="X57" s="63">
        <f t="shared" si="12"/>
        <v>69040</v>
      </c>
      <c r="Y57" s="68">
        <f t="shared" si="13"/>
        <v>1480</v>
      </c>
      <c r="Z57" s="64" t="str">
        <f t="shared" si="14"/>
        <v>No</v>
      </c>
    </row>
    <row r="58" spans="2:26" ht="18" customHeight="1">
      <c r="B58" s="58" t="str">
        <f t="shared" si="15"/>
        <v>35 ปี 10 เดือน 29 วัน</v>
      </c>
      <c r="C58" s="60">
        <f t="shared" si="25"/>
        <v>53418</v>
      </c>
      <c r="D58" s="39" t="s">
        <v>28</v>
      </c>
      <c r="E58" s="40" t="s">
        <v>20</v>
      </c>
      <c r="F58" s="38">
        <f t="shared" si="26"/>
        <v>69040</v>
      </c>
      <c r="G58" s="36">
        <f t="shared" si="16"/>
        <v>49330</v>
      </c>
      <c r="H58" s="41">
        <v>0.03</v>
      </c>
      <c r="I58" s="37">
        <f t="shared" si="17"/>
        <v>1480</v>
      </c>
      <c r="J58" s="70">
        <f t="shared" si="18"/>
        <v>69040</v>
      </c>
      <c r="K58" s="37">
        <f t="shared" si="19"/>
        <v>5600</v>
      </c>
      <c r="L58" s="37">
        <f t="shared" si="20"/>
        <v>5600</v>
      </c>
      <c r="M58" s="72">
        <f t="shared" si="21"/>
        <v>80240</v>
      </c>
      <c r="N58" s="76" t="str">
        <f t="shared" si="11"/>
        <v>เงินเดือนถึงขั้นสูง</v>
      </c>
      <c r="R58" s="33">
        <f>IF(E58="","",VLOOKUP(E58,Money!$N$10:$P$15,3))</f>
        <v>3</v>
      </c>
      <c r="S58" s="33">
        <f t="shared" si="22"/>
        <v>3</v>
      </c>
      <c r="T58" s="33" t="str">
        <f t="shared" si="23"/>
        <v>คศ.3</v>
      </c>
      <c r="U58" s="63">
        <f>IF(T58="","",VLOOKUP(T58,Money!$N$10:$O$15,2))</f>
        <v>58390</v>
      </c>
      <c r="V58" s="34">
        <f t="array" ref="V58">INDEX(Money!$E$6:$E$17,MATCH(1,INDEX(--(E58=Money!$A$6:$A$17)*((F58&gt;=Money!$C$6:$C$17)+0),),0))</f>
        <v>49330</v>
      </c>
      <c r="W58" s="63">
        <f t="shared" si="24"/>
        <v>70520</v>
      </c>
      <c r="X58" s="63">
        <f t="shared" si="12"/>
        <v>69040</v>
      </c>
      <c r="Y58" s="68">
        <f t="shared" si="13"/>
        <v>1480</v>
      </c>
      <c r="Z58" s="64" t="str">
        <f t="shared" si="14"/>
        <v>No</v>
      </c>
    </row>
    <row r="59" spans="2:26" ht="18" customHeight="1">
      <c r="B59" s="58" t="str">
        <f t="shared" si="15"/>
        <v>36 ปี 4 เดือน 28 วัน</v>
      </c>
      <c r="C59" s="60">
        <f t="shared" si="25"/>
        <v>53601</v>
      </c>
      <c r="D59" s="39" t="s">
        <v>28</v>
      </c>
      <c r="E59" s="40" t="s">
        <v>20</v>
      </c>
      <c r="F59" s="38">
        <f t="shared" si="26"/>
        <v>69040</v>
      </c>
      <c r="G59" s="36">
        <f t="shared" si="16"/>
        <v>49330</v>
      </c>
      <c r="H59" s="41">
        <v>0.03</v>
      </c>
      <c r="I59" s="37">
        <f t="shared" si="17"/>
        <v>1480</v>
      </c>
      <c r="J59" s="70">
        <f t="shared" si="18"/>
        <v>69040</v>
      </c>
      <c r="K59" s="37">
        <f t="shared" si="19"/>
        <v>5600</v>
      </c>
      <c r="L59" s="37">
        <f t="shared" si="20"/>
        <v>5600</v>
      </c>
      <c r="M59" s="72">
        <f t="shared" si="21"/>
        <v>80240</v>
      </c>
      <c r="N59" s="76" t="str">
        <f t="shared" si="11"/>
        <v>เงินเดือนถึงขั้นสูง</v>
      </c>
      <c r="R59" s="33">
        <f>IF(E59="","",VLOOKUP(E59,Money!$N$10:$P$15,3))</f>
        <v>3</v>
      </c>
      <c r="S59" s="33">
        <f t="shared" si="22"/>
        <v>3</v>
      </c>
      <c r="T59" s="33" t="str">
        <f t="shared" si="23"/>
        <v>คศ.3</v>
      </c>
      <c r="U59" s="63">
        <f>IF(T59="","",VLOOKUP(T59,Money!$N$10:$O$15,2))</f>
        <v>58390</v>
      </c>
      <c r="V59" s="34">
        <f t="array" ref="V59">INDEX(Money!$E$6:$E$17,MATCH(1,INDEX(--(E59=Money!$A$6:$A$17)*((F59&gt;=Money!$C$6:$C$17)+0),),0))</f>
        <v>49330</v>
      </c>
      <c r="W59" s="63">
        <f t="shared" si="24"/>
        <v>70520</v>
      </c>
      <c r="X59" s="63">
        <f t="shared" si="12"/>
        <v>69040</v>
      </c>
      <c r="Y59" s="68">
        <f t="shared" si="13"/>
        <v>1480</v>
      </c>
      <c r="Z59" s="64" t="str">
        <f t="shared" si="14"/>
        <v>No</v>
      </c>
    </row>
    <row r="60" spans="2:26" ht="18" customHeight="1">
      <c r="B60" s="58" t="str">
        <f t="shared" si="15"/>
        <v>36 ปี 10 เดือน 29 วัน</v>
      </c>
      <c r="C60" s="60">
        <f t="shared" si="25"/>
        <v>53783</v>
      </c>
      <c r="D60" s="39" t="s">
        <v>28</v>
      </c>
      <c r="E60" s="40" t="s">
        <v>20</v>
      </c>
      <c r="F60" s="38">
        <f t="shared" si="26"/>
        <v>69040</v>
      </c>
      <c r="G60" s="36">
        <f t="shared" si="16"/>
        <v>49330</v>
      </c>
      <c r="H60" s="41">
        <v>0.03</v>
      </c>
      <c r="I60" s="37">
        <f t="shared" si="17"/>
        <v>1480</v>
      </c>
      <c r="J60" s="70">
        <f t="shared" si="18"/>
        <v>69040</v>
      </c>
      <c r="K60" s="37">
        <f t="shared" si="19"/>
        <v>5600</v>
      </c>
      <c r="L60" s="37">
        <f t="shared" si="20"/>
        <v>5600</v>
      </c>
      <c r="M60" s="72">
        <f t="shared" si="21"/>
        <v>80240</v>
      </c>
      <c r="N60" s="76" t="str">
        <f t="shared" si="11"/>
        <v>เงินเดือนถึงขั้นสูง</v>
      </c>
      <c r="R60" s="33">
        <f>IF(E60="","",VLOOKUP(E60,Money!$N$10:$P$15,3))</f>
        <v>3</v>
      </c>
      <c r="S60" s="33">
        <f t="shared" si="22"/>
        <v>3</v>
      </c>
      <c r="T60" s="33" t="str">
        <f t="shared" si="23"/>
        <v>คศ.3</v>
      </c>
      <c r="U60" s="63">
        <f>IF(T60="","",VLOOKUP(T60,Money!$N$10:$O$15,2))</f>
        <v>58390</v>
      </c>
      <c r="V60" s="34">
        <f t="array" ref="V60">INDEX(Money!$E$6:$E$17,MATCH(1,INDEX(--(E60=Money!$A$6:$A$17)*((F60&gt;=Money!$C$6:$C$17)+0),),0))</f>
        <v>49330</v>
      </c>
      <c r="W60" s="63">
        <f t="shared" si="24"/>
        <v>70520</v>
      </c>
      <c r="X60" s="63">
        <f t="shared" si="12"/>
        <v>69040</v>
      </c>
      <c r="Y60" s="68">
        <f t="shared" si="13"/>
        <v>1480</v>
      </c>
      <c r="Z60" s="64" t="str">
        <f t="shared" si="14"/>
        <v>No</v>
      </c>
    </row>
    <row r="61" spans="2:26" ht="18" customHeight="1">
      <c r="B61" s="58" t="str">
        <f t="shared" si="15"/>
        <v>เกษียณอายุราชการ</v>
      </c>
      <c r="C61" s="60">
        <f t="shared" si="25"/>
        <v>53966</v>
      </c>
      <c r="D61" s="39" t="s">
        <v>28</v>
      </c>
      <c r="E61" s="40" t="s">
        <v>20</v>
      </c>
      <c r="F61" s="38">
        <f t="shared" si="26"/>
        <v>69040</v>
      </c>
      <c r="G61" s="36">
        <f t="shared" si="16"/>
        <v>49330</v>
      </c>
      <c r="H61" s="41">
        <v>0.03</v>
      </c>
      <c r="I61" s="37">
        <f t="shared" si="17"/>
        <v>1480</v>
      </c>
      <c r="J61" s="70">
        <f t="shared" si="18"/>
        <v>69040</v>
      </c>
      <c r="K61" s="37">
        <f t="shared" si="19"/>
        <v>5600</v>
      </c>
      <c r="L61" s="37">
        <f t="shared" si="20"/>
        <v>5600</v>
      </c>
      <c r="M61" s="72">
        <f t="shared" si="21"/>
        <v>80240</v>
      </c>
      <c r="N61" s="76" t="str">
        <f t="shared" si="11"/>
        <v>เงินเดือนถึงขั้นสูง</v>
      </c>
      <c r="R61" s="33">
        <f>IF(E61="","",VLOOKUP(E61,Money!$N$10:$P$15,3))</f>
        <v>3</v>
      </c>
      <c r="S61" s="33">
        <f t="shared" si="22"/>
        <v>3</v>
      </c>
      <c r="T61" s="33" t="str">
        <f t="shared" si="23"/>
        <v>คศ.3</v>
      </c>
      <c r="U61" s="63">
        <f>IF(T61="","",VLOOKUP(T61,Money!$N$10:$O$15,2))</f>
        <v>58390</v>
      </c>
      <c r="V61" s="34">
        <f t="array" ref="V61">INDEX(Money!$E$6:$E$17,MATCH(1,INDEX(--(E61=Money!$A$6:$A$17)*((F61&gt;=Money!$C$6:$C$17)+0),),0))</f>
        <v>49330</v>
      </c>
      <c r="W61" s="63">
        <f t="shared" si="24"/>
        <v>70520</v>
      </c>
      <c r="X61" s="63">
        <f t="shared" si="12"/>
        <v>69040</v>
      </c>
      <c r="Y61" s="68">
        <f t="shared" si="13"/>
        <v>1480</v>
      </c>
      <c r="Z61" s="64" t="str">
        <f t="shared" si="14"/>
        <v>No</v>
      </c>
    </row>
    <row r="62" spans="2:26" ht="18" customHeight="1">
      <c r="B62" s="58" t="str">
        <f t="shared" si="15"/>
        <v/>
      </c>
      <c r="C62" s="60">
        <f t="shared" si="25"/>
        <v>54149</v>
      </c>
      <c r="D62" s="39"/>
      <c r="E62" s="40"/>
      <c r="F62" s="38" t="str">
        <f t="shared" si="26"/>
        <v/>
      </c>
      <c r="G62" s="36" t="str">
        <f t="shared" si="16"/>
        <v/>
      </c>
      <c r="H62" s="41"/>
      <c r="I62" s="37" t="str">
        <f t="shared" si="17"/>
        <v/>
      </c>
      <c r="J62" s="70" t="str">
        <f t="shared" si="18"/>
        <v/>
      </c>
      <c r="K62" s="37" t="str">
        <f t="shared" si="19"/>
        <v/>
      </c>
      <c r="L62" s="37" t="str">
        <f t="shared" si="20"/>
        <v/>
      </c>
      <c r="M62" s="72" t="str">
        <f t="shared" si="21"/>
        <v/>
      </c>
      <c r="N62" s="76" t="str">
        <f t="shared" si="11"/>
        <v/>
      </c>
      <c r="R62" s="33" t="str">
        <f>IF(E62="","",VLOOKUP(E62,Money!$N$10:$P$15,3))</f>
        <v/>
      </c>
      <c r="S62" s="33" t="str">
        <f t="shared" si="22"/>
        <v/>
      </c>
      <c r="T62" s="33" t="str">
        <f t="shared" si="23"/>
        <v/>
      </c>
      <c r="U62" s="63" t="str">
        <f>IF(T62="","",VLOOKUP(T62,Money!$N$10:$O$15,2))</f>
        <v/>
      </c>
      <c r="V62" s="34" t="e">
        <f t="array" ref="V62">INDEX(Money!$E$6:$E$17,MATCH(1,INDEX(--(E62=Money!$A$6:$A$17)*((F62&gt;=Money!$C$6:$C$17)+0),),0))</f>
        <v>#N/A</v>
      </c>
      <c r="W62" s="63" t="str">
        <f t="shared" si="24"/>
        <v/>
      </c>
      <c r="X62" s="63" t="str">
        <f t="shared" si="12"/>
        <v/>
      </c>
      <c r="Y62" s="68" t="e">
        <f t="shared" si="13"/>
        <v>#VALUE!</v>
      </c>
      <c r="Z62" s="64" t="str">
        <f t="shared" si="14"/>
        <v/>
      </c>
    </row>
    <row r="63" spans="2:26" ht="18" customHeight="1">
      <c r="B63" s="58" t="str">
        <f t="shared" si="15"/>
        <v/>
      </c>
      <c r="C63" s="60">
        <f t="shared" si="25"/>
        <v>54332</v>
      </c>
      <c r="D63" s="39"/>
      <c r="E63" s="40"/>
      <c r="F63" s="38" t="str">
        <f t="shared" si="26"/>
        <v/>
      </c>
      <c r="G63" s="36" t="str">
        <f t="shared" si="16"/>
        <v/>
      </c>
      <c r="H63" s="41"/>
      <c r="I63" s="37" t="str">
        <f t="shared" si="17"/>
        <v/>
      </c>
      <c r="J63" s="70" t="str">
        <f t="shared" si="18"/>
        <v/>
      </c>
      <c r="K63" s="37" t="str">
        <f t="shared" si="19"/>
        <v/>
      </c>
      <c r="L63" s="37" t="str">
        <f t="shared" si="20"/>
        <v/>
      </c>
      <c r="M63" s="72" t="str">
        <f t="shared" si="21"/>
        <v/>
      </c>
      <c r="N63" s="76" t="str">
        <f t="shared" si="11"/>
        <v/>
      </c>
      <c r="R63" s="33" t="str">
        <f>IF(E63="","",VLOOKUP(E63,Money!$N$10:$P$15,3))</f>
        <v/>
      </c>
      <c r="S63" s="33" t="str">
        <f t="shared" si="22"/>
        <v/>
      </c>
      <c r="T63" s="33" t="str">
        <f t="shared" si="23"/>
        <v/>
      </c>
      <c r="U63" s="63" t="str">
        <f>IF(T63="","",VLOOKUP(T63,Money!$N$10:$O$15,2))</f>
        <v/>
      </c>
      <c r="V63" s="34" t="e">
        <f t="array" ref="V63">INDEX(Money!$E$6:$E$17,MATCH(1,INDEX(--(E63=Money!$A$6:$A$17)*((F63&gt;=Money!$C$6:$C$17)+0),),0))</f>
        <v>#N/A</v>
      </c>
      <c r="W63" s="63" t="str">
        <f t="shared" si="24"/>
        <v/>
      </c>
      <c r="X63" s="63" t="str">
        <f t="shared" si="12"/>
        <v/>
      </c>
      <c r="Y63" s="68" t="e">
        <f t="shared" si="13"/>
        <v>#VALUE!</v>
      </c>
      <c r="Z63" s="64" t="str">
        <f t="shared" si="14"/>
        <v/>
      </c>
    </row>
    <row r="64" spans="2:26" ht="18" customHeight="1">
      <c r="B64" s="58" t="str">
        <f t="shared" si="15"/>
        <v/>
      </c>
      <c r="C64" s="60">
        <f t="shared" si="25"/>
        <v>54514</v>
      </c>
      <c r="D64" s="39"/>
      <c r="E64" s="40"/>
      <c r="F64" s="38" t="str">
        <f t="shared" si="26"/>
        <v/>
      </c>
      <c r="G64" s="36" t="str">
        <f t="shared" si="16"/>
        <v/>
      </c>
      <c r="H64" s="41"/>
      <c r="I64" s="37" t="str">
        <f t="shared" si="17"/>
        <v/>
      </c>
      <c r="J64" s="70" t="str">
        <f t="shared" si="18"/>
        <v/>
      </c>
      <c r="K64" s="37" t="str">
        <f t="shared" si="19"/>
        <v/>
      </c>
      <c r="L64" s="37" t="str">
        <f t="shared" si="20"/>
        <v/>
      </c>
      <c r="M64" s="72" t="str">
        <f t="shared" si="21"/>
        <v/>
      </c>
      <c r="N64" s="76" t="str">
        <f t="shared" si="11"/>
        <v/>
      </c>
      <c r="R64" s="33" t="str">
        <f>IF(E64="","",VLOOKUP(E64,Money!$N$10:$P$15,3))</f>
        <v/>
      </c>
      <c r="S64" s="33" t="str">
        <f t="shared" si="22"/>
        <v/>
      </c>
      <c r="T64" s="33" t="str">
        <f t="shared" si="23"/>
        <v/>
      </c>
      <c r="U64" s="63" t="str">
        <f>IF(T64="","",VLOOKUP(T64,Money!$N$10:$O$15,2))</f>
        <v/>
      </c>
      <c r="V64" s="34" t="e">
        <f t="array" ref="V64">INDEX(Money!$E$6:$E$17,MATCH(1,INDEX(--(E64=Money!$A$6:$A$17)*((F64&gt;=Money!$C$6:$C$17)+0),),0))</f>
        <v>#N/A</v>
      </c>
      <c r="W64" s="63" t="str">
        <f t="shared" si="24"/>
        <v/>
      </c>
      <c r="X64" s="63" t="str">
        <f t="shared" si="12"/>
        <v/>
      </c>
      <c r="Y64" s="68" t="e">
        <f t="shared" si="13"/>
        <v>#VALUE!</v>
      </c>
      <c r="Z64" s="64" t="str">
        <f t="shared" si="14"/>
        <v/>
      </c>
    </row>
    <row r="65" spans="2:26" ht="18" customHeight="1">
      <c r="B65" s="58" t="str">
        <f t="shared" si="15"/>
        <v/>
      </c>
      <c r="C65" s="60">
        <f t="shared" si="25"/>
        <v>54697</v>
      </c>
      <c r="D65" s="39"/>
      <c r="E65" s="40"/>
      <c r="F65" s="38" t="str">
        <f t="shared" si="26"/>
        <v/>
      </c>
      <c r="G65" s="36" t="str">
        <f t="shared" si="16"/>
        <v/>
      </c>
      <c r="H65" s="41"/>
      <c r="I65" s="37" t="str">
        <f t="shared" si="17"/>
        <v/>
      </c>
      <c r="J65" s="70" t="str">
        <f t="shared" si="18"/>
        <v/>
      </c>
      <c r="K65" s="37" t="str">
        <f t="shared" si="19"/>
        <v/>
      </c>
      <c r="L65" s="37" t="str">
        <f t="shared" si="20"/>
        <v/>
      </c>
      <c r="M65" s="72" t="str">
        <f t="shared" si="21"/>
        <v/>
      </c>
      <c r="N65" s="76" t="str">
        <f t="shared" si="11"/>
        <v/>
      </c>
      <c r="R65" s="33" t="str">
        <f>IF(E65="","",VLOOKUP(E65,Money!$N$10:$P$15,3))</f>
        <v/>
      </c>
      <c r="S65" s="33" t="str">
        <f t="shared" si="22"/>
        <v/>
      </c>
      <c r="T65" s="33" t="str">
        <f t="shared" si="23"/>
        <v/>
      </c>
      <c r="U65" s="63" t="str">
        <f>IF(T65="","",VLOOKUP(T65,Money!$N$10:$O$15,2))</f>
        <v/>
      </c>
      <c r="V65" s="34" t="e">
        <f t="array" ref="V65">INDEX(Money!$E$6:$E$17,MATCH(1,INDEX(--(E65=Money!$A$6:$A$17)*((F65&gt;=Money!$C$6:$C$17)+0),),0))</f>
        <v>#N/A</v>
      </c>
      <c r="W65" s="63" t="str">
        <f t="shared" si="24"/>
        <v/>
      </c>
      <c r="X65" s="63" t="str">
        <f t="shared" si="12"/>
        <v/>
      </c>
      <c r="Y65" s="68" t="e">
        <f t="shared" si="13"/>
        <v>#VALUE!</v>
      </c>
      <c r="Z65" s="64" t="str">
        <f t="shared" si="14"/>
        <v/>
      </c>
    </row>
    <row r="66" spans="2:26" ht="18" customHeight="1">
      <c r="B66" s="58" t="str">
        <f t="shared" si="15"/>
        <v/>
      </c>
      <c r="C66" s="60">
        <f t="shared" si="25"/>
        <v>54879</v>
      </c>
      <c r="D66" s="39"/>
      <c r="E66" s="40"/>
      <c r="F66" s="38" t="str">
        <f t="shared" si="26"/>
        <v/>
      </c>
      <c r="G66" s="36" t="str">
        <f t="shared" si="16"/>
        <v/>
      </c>
      <c r="H66" s="41"/>
      <c r="I66" s="37" t="str">
        <f t="shared" si="17"/>
        <v/>
      </c>
      <c r="J66" s="70" t="str">
        <f t="shared" si="18"/>
        <v/>
      </c>
      <c r="K66" s="37" t="str">
        <f t="shared" si="19"/>
        <v/>
      </c>
      <c r="L66" s="37" t="str">
        <f t="shared" si="20"/>
        <v/>
      </c>
      <c r="M66" s="72" t="str">
        <f t="shared" si="21"/>
        <v/>
      </c>
      <c r="N66" s="76" t="str">
        <f t="shared" si="11"/>
        <v/>
      </c>
      <c r="R66" s="33" t="str">
        <f>IF(E66="","",VLOOKUP(E66,Money!$N$10:$P$15,3))</f>
        <v/>
      </c>
      <c r="S66" s="33" t="str">
        <f t="shared" si="22"/>
        <v/>
      </c>
      <c r="T66" s="33" t="str">
        <f t="shared" si="23"/>
        <v/>
      </c>
      <c r="U66" s="63" t="str">
        <f>IF(T66="","",VLOOKUP(T66,Money!$N$10:$O$15,2))</f>
        <v/>
      </c>
      <c r="V66" s="34" t="e">
        <f t="array" ref="V66">INDEX(Money!$E$6:$E$17,MATCH(1,INDEX(--(E66=Money!$A$6:$A$17)*((F66&gt;=Money!$C$6:$C$17)+0),),0))</f>
        <v>#N/A</v>
      </c>
      <c r="W66" s="63" t="str">
        <f t="shared" si="24"/>
        <v/>
      </c>
      <c r="X66" s="63" t="str">
        <f t="shared" si="12"/>
        <v/>
      </c>
      <c r="Y66" s="68" t="e">
        <f t="shared" si="13"/>
        <v>#VALUE!</v>
      </c>
      <c r="Z66" s="64" t="str">
        <f t="shared" si="14"/>
        <v/>
      </c>
    </row>
    <row r="67" spans="2:26" ht="18" customHeight="1">
      <c r="B67" s="58" t="str">
        <f t="shared" si="15"/>
        <v/>
      </c>
      <c r="C67" s="60">
        <f t="shared" si="25"/>
        <v>55062</v>
      </c>
      <c r="D67" s="39"/>
      <c r="E67" s="40"/>
      <c r="F67" s="38" t="str">
        <f t="shared" si="26"/>
        <v/>
      </c>
      <c r="G67" s="36" t="str">
        <f t="shared" si="16"/>
        <v/>
      </c>
      <c r="H67" s="41"/>
      <c r="I67" s="37" t="str">
        <f t="shared" si="17"/>
        <v/>
      </c>
      <c r="J67" s="70" t="str">
        <f t="shared" si="18"/>
        <v/>
      </c>
      <c r="K67" s="37" t="str">
        <f t="shared" si="19"/>
        <v/>
      </c>
      <c r="L67" s="37" t="str">
        <f t="shared" si="20"/>
        <v/>
      </c>
      <c r="M67" s="72" t="str">
        <f t="shared" si="21"/>
        <v/>
      </c>
      <c r="N67" s="76" t="str">
        <f t="shared" si="11"/>
        <v/>
      </c>
      <c r="R67" s="33" t="str">
        <f>IF(E67="","",VLOOKUP(E67,Money!$N$10:$P$15,3))</f>
        <v/>
      </c>
      <c r="S67" s="33" t="str">
        <f t="shared" si="22"/>
        <v/>
      </c>
      <c r="T67" s="33" t="str">
        <f t="shared" si="23"/>
        <v/>
      </c>
      <c r="U67" s="63" t="str">
        <f>IF(T67="","",VLOOKUP(T67,Money!$N$10:$O$15,2))</f>
        <v/>
      </c>
      <c r="V67" s="34" t="e">
        <f t="array" ref="V67">INDEX(Money!$E$6:$E$17,MATCH(1,INDEX(--(E67=Money!$A$6:$A$17)*((F67&gt;=Money!$C$6:$C$17)+0),),0))</f>
        <v>#N/A</v>
      </c>
      <c r="W67" s="63" t="str">
        <f t="shared" si="24"/>
        <v/>
      </c>
      <c r="X67" s="63" t="str">
        <f t="shared" si="12"/>
        <v/>
      </c>
      <c r="Y67" s="68" t="e">
        <f t="shared" si="13"/>
        <v>#VALUE!</v>
      </c>
      <c r="Z67" s="64" t="str">
        <f t="shared" si="14"/>
        <v/>
      </c>
    </row>
    <row r="68" spans="2:26" ht="18" customHeight="1">
      <c r="B68" s="58" t="str">
        <f t="shared" si="15"/>
        <v/>
      </c>
      <c r="C68" s="60">
        <f t="shared" si="25"/>
        <v>55244</v>
      </c>
      <c r="D68" s="39"/>
      <c r="E68" s="40"/>
      <c r="F68" s="38" t="str">
        <f t="shared" si="26"/>
        <v/>
      </c>
      <c r="G68" s="36" t="str">
        <f t="shared" si="16"/>
        <v/>
      </c>
      <c r="H68" s="41"/>
      <c r="I68" s="37" t="str">
        <f t="shared" si="17"/>
        <v/>
      </c>
      <c r="J68" s="70" t="str">
        <f t="shared" si="18"/>
        <v/>
      </c>
      <c r="K68" s="37" t="str">
        <f t="shared" si="19"/>
        <v/>
      </c>
      <c r="L68" s="37" t="str">
        <f t="shared" si="20"/>
        <v/>
      </c>
      <c r="M68" s="72" t="str">
        <f t="shared" si="21"/>
        <v/>
      </c>
      <c r="N68" s="76" t="str">
        <f t="shared" si="11"/>
        <v/>
      </c>
      <c r="R68" s="33" t="str">
        <f>IF(E68="","",VLOOKUP(E68,Money!$N$10:$P$15,3))</f>
        <v/>
      </c>
      <c r="S68" s="33" t="str">
        <f t="shared" si="22"/>
        <v/>
      </c>
      <c r="T68" s="33" t="str">
        <f t="shared" si="23"/>
        <v/>
      </c>
      <c r="U68" s="63" t="str">
        <f>IF(T68="","",VLOOKUP(T68,Money!$N$10:$O$15,2))</f>
        <v/>
      </c>
      <c r="V68" s="34" t="e">
        <f t="array" ref="V68">INDEX(Money!$E$6:$E$17,MATCH(1,INDEX(--(E68=Money!$A$6:$A$17)*((F68&gt;=Money!$C$6:$C$17)+0),),0))</f>
        <v>#N/A</v>
      </c>
      <c r="W68" s="63" t="str">
        <f t="shared" si="24"/>
        <v/>
      </c>
      <c r="X68" s="63" t="str">
        <f t="shared" si="12"/>
        <v/>
      </c>
      <c r="Y68" s="68" t="e">
        <f t="shared" si="13"/>
        <v>#VALUE!</v>
      </c>
      <c r="Z68" s="64" t="str">
        <f t="shared" si="14"/>
        <v/>
      </c>
    </row>
    <row r="69" spans="2:26" ht="18" customHeight="1">
      <c r="B69" s="58" t="str">
        <f t="shared" si="15"/>
        <v/>
      </c>
      <c r="C69" s="60">
        <f t="shared" si="25"/>
        <v>55427</v>
      </c>
      <c r="D69" s="39"/>
      <c r="E69" s="40"/>
      <c r="F69" s="38" t="str">
        <f t="shared" si="26"/>
        <v/>
      </c>
      <c r="G69" s="36" t="str">
        <f t="shared" si="16"/>
        <v/>
      </c>
      <c r="H69" s="41"/>
      <c r="I69" s="37" t="str">
        <f t="shared" si="17"/>
        <v/>
      </c>
      <c r="J69" s="70" t="str">
        <f t="shared" si="18"/>
        <v/>
      </c>
      <c r="K69" s="37" t="str">
        <f t="shared" si="19"/>
        <v/>
      </c>
      <c r="L69" s="37" t="str">
        <f t="shared" si="20"/>
        <v/>
      </c>
      <c r="M69" s="72" t="str">
        <f t="shared" si="21"/>
        <v/>
      </c>
      <c r="N69" s="76" t="str">
        <f t="shared" si="11"/>
        <v/>
      </c>
      <c r="R69" s="33" t="str">
        <f>IF(E69="","",VLOOKUP(E69,Money!$N$10:$P$15,3))</f>
        <v/>
      </c>
      <c r="S69" s="33" t="str">
        <f t="shared" si="22"/>
        <v/>
      </c>
      <c r="T69" s="33" t="str">
        <f t="shared" si="23"/>
        <v/>
      </c>
      <c r="U69" s="63" t="str">
        <f>IF(T69="","",VLOOKUP(T69,Money!$N$10:$O$15,2))</f>
        <v/>
      </c>
      <c r="V69" s="34" t="e">
        <f t="array" ref="V69">INDEX(Money!$E$6:$E$17,MATCH(1,INDEX(--(E69=Money!$A$6:$A$17)*((F69&gt;=Money!$C$6:$C$17)+0),),0))</f>
        <v>#N/A</v>
      </c>
      <c r="W69" s="63" t="str">
        <f t="shared" si="24"/>
        <v/>
      </c>
      <c r="X69" s="63" t="str">
        <f t="shared" si="12"/>
        <v/>
      </c>
      <c r="Y69" s="68" t="e">
        <f t="shared" si="13"/>
        <v>#VALUE!</v>
      </c>
      <c r="Z69" s="64" t="str">
        <f t="shared" si="14"/>
        <v/>
      </c>
    </row>
    <row r="70" spans="2:26" ht="18" customHeight="1">
      <c r="B70" s="58" t="str">
        <f t="shared" si="15"/>
        <v/>
      </c>
      <c r="C70" s="60">
        <f t="shared" si="25"/>
        <v>55610</v>
      </c>
      <c r="D70" s="39"/>
      <c r="E70" s="40"/>
      <c r="F70" s="38" t="str">
        <f t="shared" si="26"/>
        <v/>
      </c>
      <c r="G70" s="36" t="str">
        <f t="shared" si="16"/>
        <v/>
      </c>
      <c r="H70" s="41"/>
      <c r="I70" s="37" t="str">
        <f t="shared" si="17"/>
        <v/>
      </c>
      <c r="J70" s="70" t="str">
        <f t="shared" si="18"/>
        <v/>
      </c>
      <c r="K70" s="37" t="str">
        <f t="shared" si="19"/>
        <v/>
      </c>
      <c r="L70" s="37" t="str">
        <f t="shared" si="20"/>
        <v/>
      </c>
      <c r="M70" s="72" t="str">
        <f t="shared" si="21"/>
        <v/>
      </c>
      <c r="N70" s="76" t="str">
        <f t="shared" si="11"/>
        <v/>
      </c>
      <c r="R70" s="33" t="str">
        <f>IF(E70="","",VLOOKUP(E70,Money!$N$10:$P$15,3))</f>
        <v/>
      </c>
      <c r="S70" s="33" t="str">
        <f t="shared" si="22"/>
        <v/>
      </c>
      <c r="T70" s="33" t="str">
        <f t="shared" si="23"/>
        <v/>
      </c>
      <c r="U70" s="63" t="str">
        <f>IF(T70="","",VLOOKUP(T70,Money!$N$10:$O$15,2))</f>
        <v/>
      </c>
      <c r="V70" s="34" t="e">
        <f t="array" ref="V70">INDEX(Money!$E$6:$E$17,MATCH(1,INDEX(--(E70=Money!$A$6:$A$17)*((F70&gt;=Money!$C$6:$C$17)+0),),0))</f>
        <v>#N/A</v>
      </c>
      <c r="W70" s="63" t="str">
        <f t="shared" si="24"/>
        <v/>
      </c>
      <c r="X70" s="63" t="str">
        <f t="shared" si="12"/>
        <v/>
      </c>
      <c r="Y70" s="68" t="e">
        <f t="shared" si="13"/>
        <v>#VALUE!</v>
      </c>
      <c r="Z70" s="64" t="str">
        <f t="shared" si="14"/>
        <v/>
      </c>
    </row>
    <row r="71" spans="2:26" ht="18" customHeight="1">
      <c r="B71" s="58" t="str">
        <f t="shared" si="15"/>
        <v/>
      </c>
      <c r="C71" s="60">
        <f t="shared" si="25"/>
        <v>55793</v>
      </c>
      <c r="D71" s="39"/>
      <c r="E71" s="40"/>
      <c r="F71" s="38" t="str">
        <f t="shared" si="26"/>
        <v/>
      </c>
      <c r="G71" s="36" t="str">
        <f t="shared" si="16"/>
        <v/>
      </c>
      <c r="H71" s="41"/>
      <c r="I71" s="37" t="str">
        <f t="shared" si="17"/>
        <v/>
      </c>
      <c r="J71" s="70" t="str">
        <f t="shared" si="18"/>
        <v/>
      </c>
      <c r="K71" s="37" t="str">
        <f t="shared" si="19"/>
        <v/>
      </c>
      <c r="L71" s="37" t="str">
        <f t="shared" si="20"/>
        <v/>
      </c>
      <c r="M71" s="72" t="str">
        <f t="shared" si="21"/>
        <v/>
      </c>
      <c r="N71" s="76" t="str">
        <f t="shared" si="11"/>
        <v/>
      </c>
      <c r="R71" s="33" t="str">
        <f>IF(E71="","",VLOOKUP(E71,Money!$N$10:$P$15,3))</f>
        <v/>
      </c>
      <c r="S71" s="33" t="str">
        <f t="shared" si="22"/>
        <v/>
      </c>
      <c r="T71" s="33" t="str">
        <f t="shared" si="23"/>
        <v/>
      </c>
      <c r="U71" s="63" t="str">
        <f>IF(T71="","",VLOOKUP(T71,Money!$N$10:$O$15,2))</f>
        <v/>
      </c>
      <c r="V71" s="34" t="e">
        <f t="array" ref="V71">INDEX(Money!$E$6:$E$17,MATCH(1,INDEX(--(E71=Money!$A$6:$A$17)*((F71&gt;=Money!$C$6:$C$17)+0),),0))</f>
        <v>#N/A</v>
      </c>
      <c r="W71" s="63" t="str">
        <f t="shared" si="24"/>
        <v/>
      </c>
      <c r="X71" s="63" t="str">
        <f t="shared" si="12"/>
        <v/>
      </c>
      <c r="Y71" s="68" t="e">
        <f t="shared" si="13"/>
        <v>#VALUE!</v>
      </c>
      <c r="Z71" s="64" t="str">
        <f t="shared" si="14"/>
        <v/>
      </c>
    </row>
    <row r="72" spans="2:26" ht="18" customHeight="1">
      <c r="B72" s="58" t="str">
        <f t="shared" si="15"/>
        <v/>
      </c>
      <c r="C72" s="60">
        <f t="shared" si="25"/>
        <v>55975</v>
      </c>
      <c r="D72" s="39"/>
      <c r="E72" s="40"/>
      <c r="F72" s="38" t="str">
        <f t="shared" si="26"/>
        <v/>
      </c>
      <c r="G72" s="36" t="str">
        <f t="shared" si="16"/>
        <v/>
      </c>
      <c r="H72" s="41"/>
      <c r="I72" s="37" t="str">
        <f t="shared" si="17"/>
        <v/>
      </c>
      <c r="J72" s="70" t="str">
        <f t="shared" si="18"/>
        <v/>
      </c>
      <c r="K72" s="37" t="str">
        <f t="shared" si="19"/>
        <v/>
      </c>
      <c r="L72" s="37" t="str">
        <f t="shared" si="20"/>
        <v/>
      </c>
      <c r="M72" s="72" t="str">
        <f t="shared" si="21"/>
        <v/>
      </c>
      <c r="N72" s="76" t="str">
        <f t="shared" si="11"/>
        <v/>
      </c>
      <c r="R72" s="33" t="str">
        <f>IF(E72="","",VLOOKUP(E72,Money!$N$10:$P$15,3))</f>
        <v/>
      </c>
      <c r="S72" s="33" t="str">
        <f t="shared" si="22"/>
        <v/>
      </c>
      <c r="T72" s="33" t="str">
        <f t="shared" si="23"/>
        <v/>
      </c>
      <c r="U72" s="63" t="str">
        <f>IF(T72="","",VLOOKUP(T72,Money!$N$10:$O$15,2))</f>
        <v/>
      </c>
      <c r="V72" s="34" t="e">
        <f t="array" ref="V72">INDEX(Money!$E$6:$E$17,MATCH(1,INDEX(--(E72=Money!$A$6:$A$17)*((F72&gt;=Money!$C$6:$C$17)+0),),0))</f>
        <v>#N/A</v>
      </c>
      <c r="W72" s="63" t="str">
        <f t="shared" si="24"/>
        <v/>
      </c>
      <c r="X72" s="63" t="str">
        <f t="shared" si="12"/>
        <v/>
      </c>
      <c r="Y72" s="68" t="e">
        <f t="shared" si="13"/>
        <v>#VALUE!</v>
      </c>
      <c r="Z72" s="64" t="str">
        <f t="shared" si="14"/>
        <v/>
      </c>
    </row>
    <row r="73" spans="2:26" ht="18" customHeight="1">
      <c r="B73" s="58" t="str">
        <f t="shared" si="15"/>
        <v/>
      </c>
      <c r="C73" s="60">
        <f t="shared" si="25"/>
        <v>56158</v>
      </c>
      <c r="D73" s="39"/>
      <c r="E73" s="40"/>
      <c r="F73" s="38" t="str">
        <f t="shared" si="26"/>
        <v/>
      </c>
      <c r="G73" s="36" t="str">
        <f t="shared" si="16"/>
        <v/>
      </c>
      <c r="H73" s="41"/>
      <c r="I73" s="37" t="str">
        <f t="shared" si="17"/>
        <v/>
      </c>
      <c r="J73" s="70" t="str">
        <f t="shared" si="18"/>
        <v/>
      </c>
      <c r="K73" s="37" t="str">
        <f t="shared" si="19"/>
        <v/>
      </c>
      <c r="L73" s="37" t="str">
        <f t="shared" si="20"/>
        <v/>
      </c>
      <c r="M73" s="72" t="str">
        <f t="shared" si="21"/>
        <v/>
      </c>
      <c r="N73" s="76" t="str">
        <f t="shared" si="11"/>
        <v/>
      </c>
      <c r="R73" s="33" t="str">
        <f>IF(E73="","",VLOOKUP(E73,Money!$N$10:$P$15,3))</f>
        <v/>
      </c>
      <c r="S73" s="33" t="str">
        <f t="shared" si="22"/>
        <v/>
      </c>
      <c r="T73" s="33" t="str">
        <f t="shared" si="23"/>
        <v/>
      </c>
      <c r="U73" s="63" t="str">
        <f>IF(T73="","",VLOOKUP(T73,Money!$N$10:$O$15,2))</f>
        <v/>
      </c>
      <c r="V73" s="34" t="e">
        <f t="array" ref="V73">INDEX(Money!$E$6:$E$17,MATCH(1,INDEX(--(E73=Money!$A$6:$A$17)*((F73&gt;=Money!$C$6:$C$17)+0),),0))</f>
        <v>#N/A</v>
      </c>
      <c r="W73" s="63" t="str">
        <f t="shared" si="24"/>
        <v/>
      </c>
      <c r="X73" s="63" t="str">
        <f t="shared" si="12"/>
        <v/>
      </c>
      <c r="Y73" s="68" t="e">
        <f t="shared" si="13"/>
        <v>#VALUE!</v>
      </c>
      <c r="Z73" s="64" t="str">
        <f t="shared" si="14"/>
        <v/>
      </c>
    </row>
    <row r="74" spans="2:26" ht="18" customHeight="1">
      <c r="B74" s="58" t="str">
        <f t="shared" si="15"/>
        <v/>
      </c>
      <c r="C74" s="60">
        <f t="shared" si="25"/>
        <v>56340</v>
      </c>
      <c r="D74" s="39"/>
      <c r="E74" s="40"/>
      <c r="F74" s="38" t="str">
        <f t="shared" si="26"/>
        <v/>
      </c>
      <c r="G74" s="36" t="str">
        <f t="shared" ref="G74:G90" si="27">IF($F$5="","",IF(E74="","",V74))</f>
        <v/>
      </c>
      <c r="H74" s="41"/>
      <c r="I74" s="37" t="str">
        <f t="shared" ref="I74:I90" si="28">IF($F$5="","",IFERROR(_xlfn.CEILING.MATH(G74*H74,10),""))</f>
        <v/>
      </c>
      <c r="J74" s="70" t="str">
        <f t="shared" ref="J74:J90" si="29">IF(F74="","",X74)</f>
        <v/>
      </c>
      <c r="K74" s="37" t="str">
        <f t="shared" ref="K74:K90" si="30">IF($F$5="","",IF(E74="คศ.2",3500,IF(E74="คศ.3",5600,IF(E74="คศ.4",9900,""))))</f>
        <v/>
      </c>
      <c r="L74" s="37" t="str">
        <f t="shared" ref="L74:L90" si="31">IF($F$5="","",IF(K74="","",IF(K74=3500,"",K74)))</f>
        <v/>
      </c>
      <c r="M74" s="72" t="str">
        <f t="shared" ref="M74:M90" si="32">IF(J74="","",SUM(J74:L74))</f>
        <v/>
      </c>
      <c r="N74" s="76" t="str">
        <f t="shared" si="11"/>
        <v/>
      </c>
      <c r="R74" s="33" t="str">
        <f>IF(E74="","",VLOOKUP(E74,Money!$N$10:$P$15,3))</f>
        <v/>
      </c>
      <c r="S74" s="33" t="str">
        <f t="shared" ref="S74:S90" si="33">IF(Z74="Yes",R74+1,R74)</f>
        <v/>
      </c>
      <c r="T74" s="33" t="str">
        <f t="shared" ref="T74:T90" si="34">IF(E74="","","คศ."&amp;S74)</f>
        <v/>
      </c>
      <c r="U74" s="63" t="str">
        <f>IF(T74="","",VLOOKUP(T74,Money!$N$10:$O$15,2))</f>
        <v/>
      </c>
      <c r="V74" s="34" t="e">
        <f t="array" ref="V74">INDEX(Money!$E$6:$E$17,MATCH(1,INDEX(--(E74=Money!$A$6:$A$17)*((F74&gt;=Money!$C$6:$C$17)+0),),0))</f>
        <v>#N/A</v>
      </c>
      <c r="W74" s="63" t="str">
        <f t="shared" ref="W74:W90" si="35">IFERROR(IF(F74="","",F74+I74),"")</f>
        <v/>
      </c>
      <c r="X74" s="63" t="str">
        <f t="shared" si="12"/>
        <v/>
      </c>
      <c r="Y74" s="68" t="e">
        <f t="shared" si="13"/>
        <v>#VALUE!</v>
      </c>
      <c r="Z74" s="64" t="str">
        <f t="shared" si="14"/>
        <v/>
      </c>
    </row>
    <row r="75" spans="2:26" ht="18" customHeight="1">
      <c r="B75" s="58" t="str">
        <f t="shared" ref="B75:B90" si="36">IF(B74="เกษียณอายุราชการ","",IF(B74="","",IF(C75-1=$C$5,"เกษียณอายุราชการ",IFERROR(DATEDIF($C$4,C75,"y")&amp;" ปี "&amp;DATEDIF($C$4,C75,"ym")&amp;" เดือน "&amp;DATEDIF($C$4,C75,"md")&amp;" วัน","ยังไม่กรอกวันเลื่อนเงินเดือนล่าสุด"))))</f>
        <v/>
      </c>
      <c r="C75" s="60">
        <f t="shared" ref="C75:C90" si="37">IF($F$4="","ยังไม่กรอกวันเลื่อนเดือนล่าสุด",EDATE(C74,6))</f>
        <v>56523</v>
      </c>
      <c r="D75" s="39"/>
      <c r="E75" s="40"/>
      <c r="F75" s="38" t="str">
        <f t="shared" ref="F75:F90" si="38">IF(E75="","",IF(J74="","",J74))</f>
        <v/>
      </c>
      <c r="G75" s="36" t="str">
        <f t="shared" si="27"/>
        <v/>
      </c>
      <c r="H75" s="41"/>
      <c r="I75" s="37" t="str">
        <f t="shared" si="28"/>
        <v/>
      </c>
      <c r="J75" s="70" t="str">
        <f t="shared" si="29"/>
        <v/>
      </c>
      <c r="K75" s="37" t="str">
        <f t="shared" si="30"/>
        <v/>
      </c>
      <c r="L75" s="37" t="str">
        <f t="shared" si="31"/>
        <v/>
      </c>
      <c r="M75" s="72" t="str">
        <f t="shared" si="32"/>
        <v/>
      </c>
      <c r="N75" s="76" t="str">
        <f t="shared" ref="N75:N90" si="39">IFERROR(IF(Z75="yes","อาศัยเบิกอันดับ "&amp;T75,IF(Y75&gt;0,"เงินเดือนถึงขั้นสูง","")),"")</f>
        <v/>
      </c>
      <c r="R75" s="33" t="str">
        <f>IF(E75="","",VLOOKUP(E75,Money!$N$10:$P$15,3))</f>
        <v/>
      </c>
      <c r="S75" s="33" t="str">
        <f t="shared" si="33"/>
        <v/>
      </c>
      <c r="T75" s="33" t="str">
        <f t="shared" si="34"/>
        <v/>
      </c>
      <c r="U75" s="63" t="str">
        <f>IF(T75="","",VLOOKUP(T75,Money!$N$10:$O$15,2))</f>
        <v/>
      </c>
      <c r="V75" s="34" t="e">
        <f t="array" ref="V75">INDEX(Money!$E$6:$E$17,MATCH(1,INDEX(--(E75=Money!$A$6:$A$17)*((F75&gt;=Money!$C$6:$C$17)+0),),0))</f>
        <v>#N/A</v>
      </c>
      <c r="W75" s="63" t="str">
        <f t="shared" si="35"/>
        <v/>
      </c>
      <c r="X75" s="63" t="str">
        <f t="shared" ref="X75:X90" si="40">IF(AND(E75="คศ.1",W75&gt;$W$2),$W$2,IF(AND(E75="คศ.2",W75&gt;$W$3),$W$3,IF(AND(E75="คศ.3",W75&gt;$W$4),$W$4,IF(AND(E75="คศ.4",W75&gt;$W$5),$W$5,W75))))</f>
        <v/>
      </c>
      <c r="Y75" s="68" t="e">
        <f t="shared" ref="Y75:Y90" si="41">W75-X75</f>
        <v>#VALUE!</v>
      </c>
      <c r="Z75" s="64" t="str">
        <f t="shared" ref="Z75:Z90" si="42">IF(E75="","",IF(AND(E75="คศ.1",W75&gt;=34310,W75&lt;=41620),"Yes",IF(AND(E75="คศ.2",W75&gt;=41620,W75&lt;=58390),"Yes",IF(AND(E75="คศ.3",W75&gt;=58390,W75&lt;=69040),"Yes",IF(AND(E75="คศ.4",W75&gt;=69040,W75&gt;=76800),"Yes","No")))))</f>
        <v/>
      </c>
    </row>
    <row r="76" spans="2:26" ht="18" customHeight="1">
      <c r="B76" s="58" t="str">
        <f t="shared" si="36"/>
        <v/>
      </c>
      <c r="C76" s="60">
        <f t="shared" si="37"/>
        <v>56705</v>
      </c>
      <c r="D76" s="39"/>
      <c r="E76" s="40"/>
      <c r="F76" s="38" t="str">
        <f t="shared" si="38"/>
        <v/>
      </c>
      <c r="G76" s="36" t="str">
        <f t="shared" si="27"/>
        <v/>
      </c>
      <c r="H76" s="41"/>
      <c r="I76" s="37" t="str">
        <f t="shared" si="28"/>
        <v/>
      </c>
      <c r="J76" s="70" t="str">
        <f t="shared" si="29"/>
        <v/>
      </c>
      <c r="K76" s="37" t="str">
        <f t="shared" si="30"/>
        <v/>
      </c>
      <c r="L76" s="37" t="str">
        <f t="shared" si="31"/>
        <v/>
      </c>
      <c r="M76" s="72" t="str">
        <f t="shared" si="32"/>
        <v/>
      </c>
      <c r="N76" s="76" t="str">
        <f t="shared" si="39"/>
        <v/>
      </c>
      <c r="R76" s="33" t="str">
        <f>IF(E76="","",VLOOKUP(E76,Money!$N$10:$P$15,3))</f>
        <v/>
      </c>
      <c r="S76" s="33" t="str">
        <f t="shared" si="33"/>
        <v/>
      </c>
      <c r="T76" s="33" t="str">
        <f t="shared" si="34"/>
        <v/>
      </c>
      <c r="U76" s="63" t="str">
        <f>IF(T76="","",VLOOKUP(T76,Money!$N$10:$O$15,2))</f>
        <v/>
      </c>
      <c r="V76" s="34" t="e">
        <f t="array" ref="V76">INDEX(Money!$E$6:$E$17,MATCH(1,INDEX(--(E76=Money!$A$6:$A$17)*((F76&gt;=Money!$C$6:$C$17)+0),),0))</f>
        <v>#N/A</v>
      </c>
      <c r="W76" s="63" t="str">
        <f t="shared" si="35"/>
        <v/>
      </c>
      <c r="X76" s="63" t="str">
        <f t="shared" si="40"/>
        <v/>
      </c>
      <c r="Y76" s="68" t="e">
        <f t="shared" si="41"/>
        <v>#VALUE!</v>
      </c>
      <c r="Z76" s="64" t="str">
        <f t="shared" si="42"/>
        <v/>
      </c>
    </row>
    <row r="77" spans="2:26" ht="18" customHeight="1">
      <c r="B77" s="58" t="str">
        <f t="shared" si="36"/>
        <v/>
      </c>
      <c r="C77" s="60">
        <f t="shared" si="37"/>
        <v>56888</v>
      </c>
      <c r="D77" s="39"/>
      <c r="E77" s="40"/>
      <c r="F77" s="38" t="str">
        <f t="shared" si="38"/>
        <v/>
      </c>
      <c r="G77" s="36" t="str">
        <f t="shared" si="27"/>
        <v/>
      </c>
      <c r="H77" s="41"/>
      <c r="I77" s="37" t="str">
        <f t="shared" si="28"/>
        <v/>
      </c>
      <c r="J77" s="70" t="str">
        <f t="shared" si="29"/>
        <v/>
      </c>
      <c r="K77" s="37" t="str">
        <f t="shared" si="30"/>
        <v/>
      </c>
      <c r="L77" s="37" t="str">
        <f t="shared" si="31"/>
        <v/>
      </c>
      <c r="M77" s="72" t="str">
        <f t="shared" si="32"/>
        <v/>
      </c>
      <c r="N77" s="76" t="str">
        <f t="shared" si="39"/>
        <v/>
      </c>
      <c r="R77" s="33" t="str">
        <f>IF(E77="","",VLOOKUP(E77,Money!$N$10:$P$15,3))</f>
        <v/>
      </c>
      <c r="S77" s="33" t="str">
        <f t="shared" si="33"/>
        <v/>
      </c>
      <c r="T77" s="33" t="str">
        <f t="shared" si="34"/>
        <v/>
      </c>
      <c r="U77" s="63" t="str">
        <f>IF(T77="","",VLOOKUP(T77,Money!$N$10:$O$15,2))</f>
        <v/>
      </c>
      <c r="V77" s="34" t="e">
        <f t="array" ref="V77">INDEX(Money!$E$6:$E$17,MATCH(1,INDEX(--(E77=Money!$A$6:$A$17)*((F77&gt;=Money!$C$6:$C$17)+0),),0))</f>
        <v>#N/A</v>
      </c>
      <c r="W77" s="63" t="str">
        <f t="shared" si="35"/>
        <v/>
      </c>
      <c r="X77" s="63" t="str">
        <f t="shared" si="40"/>
        <v/>
      </c>
      <c r="Y77" s="68" t="e">
        <f t="shared" si="41"/>
        <v>#VALUE!</v>
      </c>
      <c r="Z77" s="64" t="str">
        <f t="shared" si="42"/>
        <v/>
      </c>
    </row>
    <row r="78" spans="2:26" ht="18" customHeight="1">
      <c r="B78" s="58" t="str">
        <f t="shared" si="36"/>
        <v/>
      </c>
      <c r="C78" s="60">
        <f t="shared" si="37"/>
        <v>57071</v>
      </c>
      <c r="D78" s="39"/>
      <c r="E78" s="40"/>
      <c r="F78" s="38" t="str">
        <f t="shared" si="38"/>
        <v/>
      </c>
      <c r="G78" s="36" t="str">
        <f t="shared" si="27"/>
        <v/>
      </c>
      <c r="H78" s="41"/>
      <c r="I78" s="37" t="str">
        <f t="shared" si="28"/>
        <v/>
      </c>
      <c r="J78" s="70" t="str">
        <f t="shared" si="29"/>
        <v/>
      </c>
      <c r="K78" s="37" t="str">
        <f t="shared" si="30"/>
        <v/>
      </c>
      <c r="L78" s="37" t="str">
        <f t="shared" si="31"/>
        <v/>
      </c>
      <c r="M78" s="72" t="str">
        <f t="shared" si="32"/>
        <v/>
      </c>
      <c r="N78" s="76" t="str">
        <f t="shared" si="39"/>
        <v/>
      </c>
      <c r="R78" s="33" t="str">
        <f>IF(E78="","",VLOOKUP(E78,Money!$N$10:$P$15,3))</f>
        <v/>
      </c>
      <c r="S78" s="33" t="str">
        <f t="shared" si="33"/>
        <v/>
      </c>
      <c r="T78" s="33" t="str">
        <f t="shared" si="34"/>
        <v/>
      </c>
      <c r="U78" s="63" t="str">
        <f>IF(T78="","",VLOOKUP(T78,Money!$N$10:$O$15,2))</f>
        <v/>
      </c>
      <c r="V78" s="34" t="e">
        <f t="array" ref="V78">INDEX(Money!$E$6:$E$17,MATCH(1,INDEX(--(E78=Money!$A$6:$A$17)*((F78&gt;=Money!$C$6:$C$17)+0),),0))</f>
        <v>#N/A</v>
      </c>
      <c r="W78" s="63" t="str">
        <f t="shared" si="35"/>
        <v/>
      </c>
      <c r="X78" s="63" t="str">
        <f t="shared" si="40"/>
        <v/>
      </c>
      <c r="Y78" s="68" t="e">
        <f t="shared" si="41"/>
        <v>#VALUE!</v>
      </c>
      <c r="Z78" s="64" t="str">
        <f t="shared" si="42"/>
        <v/>
      </c>
    </row>
    <row r="79" spans="2:26" ht="18" customHeight="1">
      <c r="B79" s="58" t="str">
        <f t="shared" si="36"/>
        <v/>
      </c>
      <c r="C79" s="60">
        <f t="shared" si="37"/>
        <v>57254</v>
      </c>
      <c r="D79" s="39"/>
      <c r="E79" s="40"/>
      <c r="F79" s="38" t="str">
        <f t="shared" si="38"/>
        <v/>
      </c>
      <c r="G79" s="36" t="str">
        <f t="shared" si="27"/>
        <v/>
      </c>
      <c r="H79" s="41"/>
      <c r="I79" s="37" t="str">
        <f t="shared" si="28"/>
        <v/>
      </c>
      <c r="J79" s="70" t="str">
        <f t="shared" si="29"/>
        <v/>
      </c>
      <c r="K79" s="37" t="str">
        <f t="shared" si="30"/>
        <v/>
      </c>
      <c r="L79" s="37" t="str">
        <f t="shared" si="31"/>
        <v/>
      </c>
      <c r="M79" s="72" t="str">
        <f t="shared" si="32"/>
        <v/>
      </c>
      <c r="N79" s="76" t="str">
        <f t="shared" si="39"/>
        <v/>
      </c>
      <c r="R79" s="33" t="str">
        <f>IF(E79="","",VLOOKUP(E79,Money!$N$10:$P$15,3))</f>
        <v/>
      </c>
      <c r="S79" s="33" t="str">
        <f t="shared" si="33"/>
        <v/>
      </c>
      <c r="T79" s="33" t="str">
        <f t="shared" si="34"/>
        <v/>
      </c>
      <c r="U79" s="63" t="str">
        <f>IF(T79="","",VLOOKUP(T79,Money!$N$10:$O$15,2))</f>
        <v/>
      </c>
      <c r="V79" s="34" t="e">
        <f t="array" ref="V79">INDEX(Money!$E$6:$E$17,MATCH(1,INDEX(--(E79=Money!$A$6:$A$17)*((F79&gt;=Money!$C$6:$C$17)+0),),0))</f>
        <v>#N/A</v>
      </c>
      <c r="W79" s="63" t="str">
        <f t="shared" si="35"/>
        <v/>
      </c>
      <c r="X79" s="63" t="str">
        <f t="shared" si="40"/>
        <v/>
      </c>
      <c r="Y79" s="68" t="e">
        <f t="shared" si="41"/>
        <v>#VALUE!</v>
      </c>
      <c r="Z79" s="64" t="str">
        <f t="shared" si="42"/>
        <v/>
      </c>
    </row>
    <row r="80" spans="2:26" ht="18" customHeight="1">
      <c r="B80" s="58" t="str">
        <f t="shared" si="36"/>
        <v/>
      </c>
      <c r="C80" s="60">
        <f t="shared" si="37"/>
        <v>57436</v>
      </c>
      <c r="D80" s="39"/>
      <c r="E80" s="40"/>
      <c r="F80" s="38" t="str">
        <f t="shared" si="38"/>
        <v/>
      </c>
      <c r="G80" s="36" t="str">
        <f t="shared" si="27"/>
        <v/>
      </c>
      <c r="H80" s="41"/>
      <c r="I80" s="37" t="str">
        <f t="shared" si="28"/>
        <v/>
      </c>
      <c r="J80" s="70" t="str">
        <f t="shared" si="29"/>
        <v/>
      </c>
      <c r="K80" s="37" t="str">
        <f t="shared" si="30"/>
        <v/>
      </c>
      <c r="L80" s="37" t="str">
        <f t="shared" si="31"/>
        <v/>
      </c>
      <c r="M80" s="72" t="str">
        <f t="shared" si="32"/>
        <v/>
      </c>
      <c r="N80" s="76" t="str">
        <f t="shared" si="39"/>
        <v/>
      </c>
      <c r="R80" s="33" t="str">
        <f>IF(E80="","",VLOOKUP(E80,Money!$N$10:$P$15,3))</f>
        <v/>
      </c>
      <c r="S80" s="33" t="str">
        <f t="shared" si="33"/>
        <v/>
      </c>
      <c r="T80" s="33" t="str">
        <f t="shared" si="34"/>
        <v/>
      </c>
      <c r="U80" s="63" t="str">
        <f>IF(T80="","",VLOOKUP(T80,Money!$N$10:$O$15,2))</f>
        <v/>
      </c>
      <c r="V80" s="34" t="e">
        <f t="array" ref="V80">INDEX(Money!$E$6:$E$17,MATCH(1,INDEX(--(E80=Money!$A$6:$A$17)*((F80&gt;=Money!$C$6:$C$17)+0),),0))</f>
        <v>#N/A</v>
      </c>
      <c r="W80" s="63" t="str">
        <f t="shared" si="35"/>
        <v/>
      </c>
      <c r="X80" s="63" t="str">
        <f t="shared" si="40"/>
        <v/>
      </c>
      <c r="Y80" s="68" t="e">
        <f t="shared" si="41"/>
        <v>#VALUE!</v>
      </c>
      <c r="Z80" s="64" t="str">
        <f t="shared" si="42"/>
        <v/>
      </c>
    </row>
    <row r="81" spans="2:26" ht="18" customHeight="1">
      <c r="B81" s="58" t="str">
        <f t="shared" si="36"/>
        <v/>
      </c>
      <c r="C81" s="60">
        <f t="shared" si="37"/>
        <v>57619</v>
      </c>
      <c r="D81" s="39"/>
      <c r="E81" s="40"/>
      <c r="F81" s="38" t="str">
        <f t="shared" si="38"/>
        <v/>
      </c>
      <c r="G81" s="36" t="str">
        <f t="shared" si="27"/>
        <v/>
      </c>
      <c r="H81" s="41"/>
      <c r="I81" s="37" t="str">
        <f t="shared" si="28"/>
        <v/>
      </c>
      <c r="J81" s="70" t="str">
        <f t="shared" si="29"/>
        <v/>
      </c>
      <c r="K81" s="37" t="str">
        <f t="shared" si="30"/>
        <v/>
      </c>
      <c r="L81" s="37" t="str">
        <f t="shared" si="31"/>
        <v/>
      </c>
      <c r="M81" s="72" t="str">
        <f t="shared" si="32"/>
        <v/>
      </c>
      <c r="N81" s="76" t="str">
        <f t="shared" si="39"/>
        <v/>
      </c>
      <c r="R81" s="33" t="str">
        <f>IF(E81="","",VLOOKUP(E81,Money!$N$10:$P$15,3))</f>
        <v/>
      </c>
      <c r="S81" s="33" t="str">
        <f t="shared" si="33"/>
        <v/>
      </c>
      <c r="T81" s="33" t="str">
        <f t="shared" si="34"/>
        <v/>
      </c>
      <c r="U81" s="63" t="str">
        <f>IF(T81="","",VLOOKUP(T81,Money!$N$10:$O$15,2))</f>
        <v/>
      </c>
      <c r="V81" s="34" t="e">
        <f t="array" ref="V81">INDEX(Money!$E$6:$E$17,MATCH(1,INDEX(--(E81=Money!$A$6:$A$17)*((F81&gt;=Money!$C$6:$C$17)+0),),0))</f>
        <v>#N/A</v>
      </c>
      <c r="W81" s="63" t="str">
        <f t="shared" si="35"/>
        <v/>
      </c>
      <c r="X81" s="63" t="str">
        <f t="shared" si="40"/>
        <v/>
      </c>
      <c r="Y81" s="68" t="e">
        <f t="shared" si="41"/>
        <v>#VALUE!</v>
      </c>
      <c r="Z81" s="64" t="str">
        <f t="shared" si="42"/>
        <v/>
      </c>
    </row>
    <row r="82" spans="2:26" ht="18" customHeight="1">
      <c r="B82" s="58" t="str">
        <f t="shared" si="36"/>
        <v/>
      </c>
      <c r="C82" s="60">
        <f t="shared" si="37"/>
        <v>57801</v>
      </c>
      <c r="D82" s="39"/>
      <c r="E82" s="40"/>
      <c r="F82" s="38" t="str">
        <f t="shared" si="38"/>
        <v/>
      </c>
      <c r="G82" s="36" t="str">
        <f t="shared" si="27"/>
        <v/>
      </c>
      <c r="H82" s="41"/>
      <c r="I82" s="37" t="str">
        <f t="shared" si="28"/>
        <v/>
      </c>
      <c r="J82" s="70" t="str">
        <f t="shared" si="29"/>
        <v/>
      </c>
      <c r="K82" s="37" t="str">
        <f t="shared" si="30"/>
        <v/>
      </c>
      <c r="L82" s="37" t="str">
        <f t="shared" si="31"/>
        <v/>
      </c>
      <c r="M82" s="72" t="str">
        <f t="shared" si="32"/>
        <v/>
      </c>
      <c r="N82" s="76" t="str">
        <f t="shared" si="39"/>
        <v/>
      </c>
      <c r="R82" s="33" t="str">
        <f>IF(E82="","",VLOOKUP(E82,Money!$N$10:$P$15,3))</f>
        <v/>
      </c>
      <c r="S82" s="33" t="str">
        <f t="shared" si="33"/>
        <v/>
      </c>
      <c r="T82" s="33" t="str">
        <f t="shared" si="34"/>
        <v/>
      </c>
      <c r="U82" s="63" t="str">
        <f>IF(T82="","",VLOOKUP(T82,Money!$N$10:$O$15,2))</f>
        <v/>
      </c>
      <c r="V82" s="34" t="e">
        <f t="array" ref="V82">INDEX(Money!$E$6:$E$17,MATCH(1,INDEX(--(E82=Money!$A$6:$A$17)*((F82&gt;=Money!$C$6:$C$17)+0),),0))</f>
        <v>#N/A</v>
      </c>
      <c r="W82" s="63" t="str">
        <f t="shared" si="35"/>
        <v/>
      </c>
      <c r="X82" s="63" t="str">
        <f t="shared" si="40"/>
        <v/>
      </c>
      <c r="Y82" s="68" t="e">
        <f t="shared" si="41"/>
        <v>#VALUE!</v>
      </c>
      <c r="Z82" s="64" t="str">
        <f t="shared" si="42"/>
        <v/>
      </c>
    </row>
    <row r="83" spans="2:26" ht="18" customHeight="1">
      <c r="B83" s="58" t="str">
        <f t="shared" si="36"/>
        <v/>
      </c>
      <c r="C83" s="60">
        <f t="shared" si="37"/>
        <v>57984</v>
      </c>
      <c r="D83" s="39"/>
      <c r="E83" s="40"/>
      <c r="F83" s="38" t="str">
        <f t="shared" si="38"/>
        <v/>
      </c>
      <c r="G83" s="36" t="str">
        <f t="shared" si="27"/>
        <v/>
      </c>
      <c r="H83" s="41"/>
      <c r="I83" s="37" t="str">
        <f t="shared" si="28"/>
        <v/>
      </c>
      <c r="J83" s="70" t="str">
        <f t="shared" si="29"/>
        <v/>
      </c>
      <c r="K83" s="37" t="str">
        <f t="shared" si="30"/>
        <v/>
      </c>
      <c r="L83" s="37" t="str">
        <f t="shared" si="31"/>
        <v/>
      </c>
      <c r="M83" s="72" t="str">
        <f t="shared" si="32"/>
        <v/>
      </c>
      <c r="N83" s="76" t="str">
        <f t="shared" si="39"/>
        <v/>
      </c>
      <c r="R83" s="33" t="str">
        <f>IF(E83="","",VLOOKUP(E83,Money!$N$10:$P$15,3))</f>
        <v/>
      </c>
      <c r="S83" s="33" t="str">
        <f t="shared" si="33"/>
        <v/>
      </c>
      <c r="T83" s="33" t="str">
        <f t="shared" si="34"/>
        <v/>
      </c>
      <c r="U83" s="63" t="str">
        <f>IF(T83="","",VLOOKUP(T83,Money!$N$10:$O$15,2))</f>
        <v/>
      </c>
      <c r="V83" s="34" t="e">
        <f t="array" ref="V83">INDEX(Money!$E$6:$E$17,MATCH(1,INDEX(--(E83=Money!$A$6:$A$17)*((F83&gt;=Money!$C$6:$C$17)+0),),0))</f>
        <v>#N/A</v>
      </c>
      <c r="W83" s="63" t="str">
        <f t="shared" si="35"/>
        <v/>
      </c>
      <c r="X83" s="63" t="str">
        <f t="shared" si="40"/>
        <v/>
      </c>
      <c r="Y83" s="68" t="e">
        <f t="shared" si="41"/>
        <v>#VALUE!</v>
      </c>
      <c r="Z83" s="64" t="str">
        <f t="shared" si="42"/>
        <v/>
      </c>
    </row>
    <row r="84" spans="2:26" ht="18" customHeight="1">
      <c r="B84" s="58" t="str">
        <f t="shared" si="36"/>
        <v/>
      </c>
      <c r="C84" s="60">
        <f t="shared" si="37"/>
        <v>58166</v>
      </c>
      <c r="D84" s="39"/>
      <c r="E84" s="40"/>
      <c r="F84" s="38" t="str">
        <f t="shared" si="38"/>
        <v/>
      </c>
      <c r="G84" s="36" t="str">
        <f t="shared" si="27"/>
        <v/>
      </c>
      <c r="H84" s="41"/>
      <c r="I84" s="37" t="str">
        <f t="shared" si="28"/>
        <v/>
      </c>
      <c r="J84" s="70" t="str">
        <f t="shared" si="29"/>
        <v/>
      </c>
      <c r="K84" s="37" t="str">
        <f t="shared" si="30"/>
        <v/>
      </c>
      <c r="L84" s="37" t="str">
        <f t="shared" si="31"/>
        <v/>
      </c>
      <c r="M84" s="72" t="str">
        <f t="shared" si="32"/>
        <v/>
      </c>
      <c r="N84" s="76" t="str">
        <f t="shared" si="39"/>
        <v/>
      </c>
      <c r="R84" s="33" t="str">
        <f>IF(E84="","",VLOOKUP(E84,Money!$N$10:$P$15,3))</f>
        <v/>
      </c>
      <c r="S84" s="33" t="str">
        <f t="shared" si="33"/>
        <v/>
      </c>
      <c r="T84" s="33" t="str">
        <f t="shared" si="34"/>
        <v/>
      </c>
      <c r="U84" s="63" t="str">
        <f>IF(T84="","",VLOOKUP(T84,Money!$N$10:$O$15,2))</f>
        <v/>
      </c>
      <c r="V84" s="34" t="e">
        <f t="array" ref="V84">INDEX(Money!$E$6:$E$17,MATCH(1,INDEX(--(E84=Money!$A$6:$A$17)*((F84&gt;=Money!$C$6:$C$17)+0),),0))</f>
        <v>#N/A</v>
      </c>
      <c r="W84" s="63" t="str">
        <f t="shared" si="35"/>
        <v/>
      </c>
      <c r="X84" s="63" t="str">
        <f t="shared" si="40"/>
        <v/>
      </c>
      <c r="Y84" s="68" t="e">
        <f t="shared" si="41"/>
        <v>#VALUE!</v>
      </c>
      <c r="Z84" s="64" t="str">
        <f t="shared" si="42"/>
        <v/>
      </c>
    </row>
    <row r="85" spans="2:26" ht="18" customHeight="1">
      <c r="B85" s="58" t="str">
        <f t="shared" si="36"/>
        <v/>
      </c>
      <c r="C85" s="60">
        <f t="shared" si="37"/>
        <v>58349</v>
      </c>
      <c r="D85" s="39"/>
      <c r="E85" s="40"/>
      <c r="F85" s="38" t="str">
        <f t="shared" si="38"/>
        <v/>
      </c>
      <c r="G85" s="36" t="str">
        <f t="shared" si="27"/>
        <v/>
      </c>
      <c r="H85" s="41"/>
      <c r="I85" s="37" t="str">
        <f t="shared" si="28"/>
        <v/>
      </c>
      <c r="J85" s="70" t="str">
        <f t="shared" si="29"/>
        <v/>
      </c>
      <c r="K85" s="37" t="str">
        <f t="shared" si="30"/>
        <v/>
      </c>
      <c r="L85" s="37" t="str">
        <f t="shared" si="31"/>
        <v/>
      </c>
      <c r="M85" s="72" t="str">
        <f t="shared" si="32"/>
        <v/>
      </c>
      <c r="N85" s="76" t="str">
        <f t="shared" si="39"/>
        <v/>
      </c>
      <c r="R85" s="33" t="str">
        <f>IF(E85="","",VLOOKUP(E85,Money!$N$10:$P$15,3))</f>
        <v/>
      </c>
      <c r="S85" s="33" t="str">
        <f t="shared" si="33"/>
        <v/>
      </c>
      <c r="T85" s="33" t="str">
        <f t="shared" si="34"/>
        <v/>
      </c>
      <c r="U85" s="63" t="str">
        <f>IF(T85="","",VLOOKUP(T85,Money!$N$10:$O$15,2))</f>
        <v/>
      </c>
      <c r="V85" s="34" t="e">
        <f t="array" ref="V85">INDEX(Money!$E$6:$E$17,MATCH(1,INDEX(--(E85=Money!$A$6:$A$17)*((F85&gt;=Money!$C$6:$C$17)+0),),0))</f>
        <v>#N/A</v>
      </c>
      <c r="W85" s="63" t="str">
        <f t="shared" si="35"/>
        <v/>
      </c>
      <c r="X85" s="63" t="str">
        <f t="shared" si="40"/>
        <v/>
      </c>
      <c r="Y85" s="68" t="e">
        <f t="shared" si="41"/>
        <v>#VALUE!</v>
      </c>
      <c r="Z85" s="64" t="str">
        <f t="shared" si="42"/>
        <v/>
      </c>
    </row>
    <row r="86" spans="2:26" ht="18" customHeight="1">
      <c r="B86" s="58" t="str">
        <f t="shared" si="36"/>
        <v/>
      </c>
      <c r="C86" s="60">
        <f t="shared" si="37"/>
        <v>58532</v>
      </c>
      <c r="D86" s="39"/>
      <c r="E86" s="40"/>
      <c r="F86" s="38" t="str">
        <f t="shared" si="38"/>
        <v/>
      </c>
      <c r="G86" s="36" t="str">
        <f t="shared" si="27"/>
        <v/>
      </c>
      <c r="H86" s="41"/>
      <c r="I86" s="37" t="str">
        <f t="shared" si="28"/>
        <v/>
      </c>
      <c r="J86" s="70" t="str">
        <f t="shared" si="29"/>
        <v/>
      </c>
      <c r="K86" s="37" t="str">
        <f t="shared" si="30"/>
        <v/>
      </c>
      <c r="L86" s="37" t="str">
        <f t="shared" si="31"/>
        <v/>
      </c>
      <c r="M86" s="72" t="str">
        <f t="shared" si="32"/>
        <v/>
      </c>
      <c r="N86" s="76" t="str">
        <f t="shared" si="39"/>
        <v/>
      </c>
      <c r="R86" s="33" t="str">
        <f>IF(E86="","",VLOOKUP(E86,Money!$N$10:$P$15,3))</f>
        <v/>
      </c>
      <c r="S86" s="33" t="str">
        <f t="shared" si="33"/>
        <v/>
      </c>
      <c r="T86" s="33" t="str">
        <f t="shared" si="34"/>
        <v/>
      </c>
      <c r="U86" s="63" t="str">
        <f>IF(T86="","",VLOOKUP(T86,Money!$N$10:$O$15,2))</f>
        <v/>
      </c>
      <c r="V86" s="34" t="e">
        <f t="array" ref="V86">INDEX(Money!$E$6:$E$17,MATCH(1,INDEX(--(E86=Money!$A$6:$A$17)*((F86&gt;=Money!$C$6:$C$17)+0),),0))</f>
        <v>#N/A</v>
      </c>
      <c r="W86" s="63" t="str">
        <f t="shared" si="35"/>
        <v/>
      </c>
      <c r="X86" s="63" t="str">
        <f t="shared" si="40"/>
        <v/>
      </c>
      <c r="Y86" s="68" t="e">
        <f t="shared" si="41"/>
        <v>#VALUE!</v>
      </c>
      <c r="Z86" s="64" t="str">
        <f t="shared" si="42"/>
        <v/>
      </c>
    </row>
    <row r="87" spans="2:26" ht="18" customHeight="1">
      <c r="B87" s="58" t="str">
        <f t="shared" si="36"/>
        <v/>
      </c>
      <c r="C87" s="60">
        <f t="shared" si="37"/>
        <v>58715</v>
      </c>
      <c r="D87" s="39"/>
      <c r="E87" s="40"/>
      <c r="F87" s="38" t="str">
        <f t="shared" si="38"/>
        <v/>
      </c>
      <c r="G87" s="36" t="str">
        <f t="shared" si="27"/>
        <v/>
      </c>
      <c r="H87" s="41"/>
      <c r="I87" s="37" t="str">
        <f t="shared" si="28"/>
        <v/>
      </c>
      <c r="J87" s="70" t="str">
        <f t="shared" si="29"/>
        <v/>
      </c>
      <c r="K87" s="37" t="str">
        <f t="shared" si="30"/>
        <v/>
      </c>
      <c r="L87" s="37" t="str">
        <f t="shared" si="31"/>
        <v/>
      </c>
      <c r="M87" s="72" t="str">
        <f t="shared" si="32"/>
        <v/>
      </c>
      <c r="N87" s="76" t="str">
        <f t="shared" si="39"/>
        <v/>
      </c>
      <c r="R87" s="33" t="str">
        <f>IF(E87="","",VLOOKUP(E87,Money!$N$10:$P$15,3))</f>
        <v/>
      </c>
      <c r="S87" s="33" t="str">
        <f t="shared" si="33"/>
        <v/>
      </c>
      <c r="T87" s="33" t="str">
        <f t="shared" si="34"/>
        <v/>
      </c>
      <c r="U87" s="63" t="str">
        <f>IF(T87="","",VLOOKUP(T87,Money!$N$10:$O$15,2))</f>
        <v/>
      </c>
      <c r="V87" s="34" t="e">
        <f t="array" ref="V87">INDEX(Money!$E$6:$E$17,MATCH(1,INDEX(--(E87=Money!$A$6:$A$17)*((F87&gt;=Money!$C$6:$C$17)+0),),0))</f>
        <v>#N/A</v>
      </c>
      <c r="W87" s="63" t="str">
        <f t="shared" si="35"/>
        <v/>
      </c>
      <c r="X87" s="63" t="str">
        <f t="shared" si="40"/>
        <v/>
      </c>
      <c r="Y87" s="68" t="e">
        <f t="shared" si="41"/>
        <v>#VALUE!</v>
      </c>
      <c r="Z87" s="64" t="str">
        <f t="shared" si="42"/>
        <v/>
      </c>
    </row>
    <row r="88" spans="2:26" ht="18" customHeight="1">
      <c r="B88" s="58" t="str">
        <f t="shared" si="36"/>
        <v/>
      </c>
      <c r="C88" s="60">
        <f t="shared" si="37"/>
        <v>58897</v>
      </c>
      <c r="D88" s="39"/>
      <c r="E88" s="40"/>
      <c r="F88" s="38" t="str">
        <f t="shared" si="38"/>
        <v/>
      </c>
      <c r="G88" s="36" t="str">
        <f t="shared" si="27"/>
        <v/>
      </c>
      <c r="H88" s="41"/>
      <c r="I88" s="37" t="str">
        <f t="shared" si="28"/>
        <v/>
      </c>
      <c r="J88" s="70" t="str">
        <f t="shared" si="29"/>
        <v/>
      </c>
      <c r="K88" s="37" t="str">
        <f t="shared" si="30"/>
        <v/>
      </c>
      <c r="L88" s="37" t="str">
        <f t="shared" si="31"/>
        <v/>
      </c>
      <c r="M88" s="72" t="str">
        <f t="shared" si="32"/>
        <v/>
      </c>
      <c r="N88" s="76" t="str">
        <f t="shared" si="39"/>
        <v/>
      </c>
      <c r="R88" s="33" t="str">
        <f>IF(E88="","",VLOOKUP(E88,Money!$N$10:$P$15,3))</f>
        <v/>
      </c>
      <c r="S88" s="33" t="str">
        <f t="shared" si="33"/>
        <v/>
      </c>
      <c r="T88" s="33" t="str">
        <f t="shared" si="34"/>
        <v/>
      </c>
      <c r="U88" s="63" t="str">
        <f>IF(T88="","",VLOOKUP(T88,Money!$N$10:$O$15,2))</f>
        <v/>
      </c>
      <c r="V88" s="34" t="e">
        <f t="array" ref="V88">INDEX(Money!$E$6:$E$17,MATCH(1,INDEX(--(E88=Money!$A$6:$A$17)*((F88&gt;=Money!$C$6:$C$17)+0),),0))</f>
        <v>#N/A</v>
      </c>
      <c r="W88" s="63" t="str">
        <f t="shared" si="35"/>
        <v/>
      </c>
      <c r="X88" s="63" t="str">
        <f t="shared" si="40"/>
        <v/>
      </c>
      <c r="Y88" s="68" t="e">
        <f t="shared" si="41"/>
        <v>#VALUE!</v>
      </c>
      <c r="Z88" s="64" t="str">
        <f t="shared" si="42"/>
        <v/>
      </c>
    </row>
    <row r="89" spans="2:26" ht="18" customHeight="1">
      <c r="B89" s="58" t="str">
        <f t="shared" si="36"/>
        <v/>
      </c>
      <c r="C89" s="60">
        <f t="shared" si="37"/>
        <v>59080</v>
      </c>
      <c r="D89" s="39"/>
      <c r="E89" s="40"/>
      <c r="F89" s="38" t="str">
        <f t="shared" si="38"/>
        <v/>
      </c>
      <c r="G89" s="36" t="str">
        <f t="shared" si="27"/>
        <v/>
      </c>
      <c r="H89" s="41"/>
      <c r="I89" s="37" t="str">
        <f t="shared" si="28"/>
        <v/>
      </c>
      <c r="J89" s="70" t="str">
        <f t="shared" si="29"/>
        <v/>
      </c>
      <c r="K89" s="37" t="str">
        <f t="shared" si="30"/>
        <v/>
      </c>
      <c r="L89" s="37" t="str">
        <f t="shared" si="31"/>
        <v/>
      </c>
      <c r="M89" s="72" t="str">
        <f t="shared" si="32"/>
        <v/>
      </c>
      <c r="N89" s="76" t="str">
        <f t="shared" si="39"/>
        <v/>
      </c>
      <c r="R89" s="33" t="str">
        <f>IF(E89="","",VLOOKUP(E89,Money!$N$10:$P$15,3))</f>
        <v/>
      </c>
      <c r="S89" s="33" t="str">
        <f t="shared" si="33"/>
        <v/>
      </c>
      <c r="T89" s="33" t="str">
        <f t="shared" si="34"/>
        <v/>
      </c>
      <c r="U89" s="63" t="str">
        <f>IF(T89="","",VLOOKUP(T89,Money!$N$10:$O$15,2))</f>
        <v/>
      </c>
      <c r="V89" s="34" t="e">
        <f t="array" ref="V89">INDEX(Money!$E$6:$E$17,MATCH(1,INDEX(--(E89=Money!$A$6:$A$17)*((F89&gt;=Money!$C$6:$C$17)+0),),0))</f>
        <v>#N/A</v>
      </c>
      <c r="W89" s="63" t="str">
        <f t="shared" si="35"/>
        <v/>
      </c>
      <c r="X89" s="63" t="str">
        <f t="shared" si="40"/>
        <v/>
      </c>
      <c r="Y89" s="68" t="e">
        <f t="shared" si="41"/>
        <v>#VALUE!</v>
      </c>
      <c r="Z89" s="64" t="str">
        <f t="shared" si="42"/>
        <v/>
      </c>
    </row>
    <row r="90" spans="2:26" ht="18" customHeight="1" thickBot="1">
      <c r="B90" s="59" t="str">
        <f t="shared" si="36"/>
        <v/>
      </c>
      <c r="C90" s="61">
        <f t="shared" si="37"/>
        <v>59262</v>
      </c>
      <c r="D90" s="44"/>
      <c r="E90" s="45"/>
      <c r="F90" s="46" t="str">
        <f t="shared" si="38"/>
        <v/>
      </c>
      <c r="G90" s="47" t="str">
        <f t="shared" si="27"/>
        <v/>
      </c>
      <c r="H90" s="48"/>
      <c r="I90" s="49" t="str">
        <f t="shared" si="28"/>
        <v/>
      </c>
      <c r="J90" s="71" t="str">
        <f t="shared" si="29"/>
        <v/>
      </c>
      <c r="K90" s="49" t="str">
        <f t="shared" si="30"/>
        <v/>
      </c>
      <c r="L90" s="49" t="str">
        <f t="shared" si="31"/>
        <v/>
      </c>
      <c r="M90" s="73" t="str">
        <f t="shared" si="32"/>
        <v/>
      </c>
      <c r="N90" s="77" t="str">
        <f t="shared" si="39"/>
        <v/>
      </c>
      <c r="R90" s="33" t="str">
        <f>IF(E90="","",VLOOKUP(E90,Money!$N$10:$P$15,3))</f>
        <v/>
      </c>
      <c r="S90" s="33" t="str">
        <f t="shared" si="33"/>
        <v/>
      </c>
      <c r="T90" s="33" t="str">
        <f t="shared" si="34"/>
        <v/>
      </c>
      <c r="U90" s="63" t="str">
        <f>IF(T90="","",VLOOKUP(T90,Money!$N$10:$O$15,2))</f>
        <v/>
      </c>
      <c r="V90" s="34" t="e">
        <f t="array" ref="V90">INDEX(Money!$E$6:$E$17,MATCH(1,INDEX(--(E90=Money!$A$6:$A$17)*((F90&gt;=Money!$C$6:$C$17)+0),),0))</f>
        <v>#N/A</v>
      </c>
      <c r="W90" s="63" t="str">
        <f t="shared" si="35"/>
        <v/>
      </c>
      <c r="X90" s="63" t="str">
        <f t="shared" si="40"/>
        <v/>
      </c>
      <c r="Y90" s="68" t="e">
        <f t="shared" si="41"/>
        <v>#VALUE!</v>
      </c>
      <c r="Z90" s="64" t="str">
        <f t="shared" si="42"/>
        <v/>
      </c>
    </row>
    <row r="91" spans="2:26" ht="17.25" customHeight="1">
      <c r="H91" s="35"/>
    </row>
  </sheetData>
  <sheetProtection algorithmName="SHA-512" hashValue="WARa6YxufuzXSlf8Ppj/BJmfMyFIa0GO/7zThNk4jxDBtmmBWjwe++s+vlgtIRMP3lti7jMjKbz2kHtvGAr8hw==" saltValue="quKxHjr99edemYdwyuS1ww==" spinCount="100000" sheet="1" objects="1" scenarios="1" selectLockedCells="1"/>
  <mergeCells count="6">
    <mergeCell ref="H7:N7"/>
    <mergeCell ref="F2:G2"/>
    <mergeCell ref="F3:G3"/>
    <mergeCell ref="F4:G4"/>
    <mergeCell ref="F5:G5"/>
    <mergeCell ref="D6:G7"/>
  </mergeCells>
  <phoneticPr fontId="77" type="noConversion"/>
  <conditionalFormatting sqref="C7">
    <cfRule type="expression" dxfId="3" priority="5">
      <formula>$AY$1="วัน"</formula>
    </cfRule>
  </conditionalFormatting>
  <conditionalFormatting sqref="C6">
    <cfRule type="expression" dxfId="2" priority="3">
      <formula>$AZ$1="โปร"</formula>
    </cfRule>
  </conditionalFormatting>
  <conditionalFormatting sqref="G10:G90">
    <cfRule type="expression" dxfId="1" priority="6">
      <formula>$G10="ยังไม่ใส่ คศ."</formula>
    </cfRule>
  </conditionalFormatting>
  <conditionalFormatting sqref="C10:C90">
    <cfRule type="expression" dxfId="0" priority="1">
      <formula>$B10=""</formula>
    </cfRule>
  </conditionalFormatting>
  <dataValidations count="2">
    <dataValidation type="list" allowBlank="1" showInputMessage="1" showErrorMessage="1" sqref="F3 E10:E90" xr:uid="{DE2A8E7B-B852-49AD-88A4-4478C159F128}">
      <formula1>"ครูผู้ช่วย,คศ.1,คศ.2,คศ.3,คศ.4,คศ.5"</formula1>
    </dataValidation>
    <dataValidation type="list" allowBlank="1" showInputMessage="1" showErrorMessage="1" sqref="F2 D10:E90" xr:uid="{C9DB9D9D-FDE2-4D31-893E-F96F127D32E8}">
      <formula1>"ครูผู้ช่วย,ครู,รองผอ.สถานศึกษา,ผอ.สถานศึกษา"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C064EF-54CD-4CF4-96C5-441729055364}">
  <sheetPr>
    <tabColor theme="7" tint="0.39997558519241921"/>
  </sheetPr>
  <dimension ref="A2:V19"/>
  <sheetViews>
    <sheetView showGridLines="0" zoomScale="130" zoomScaleNormal="130" workbookViewId="0">
      <selection activeCell="D6" sqref="D6"/>
    </sheetView>
  </sheetViews>
  <sheetFormatPr defaultColWidth="9" defaultRowHeight="12.75"/>
  <cols>
    <col min="1" max="1" width="8" style="21" customWidth="1"/>
    <col min="2" max="2" width="3.625" style="21" hidden="1" customWidth="1"/>
    <col min="3" max="3" width="10.625" style="21" customWidth="1"/>
    <col min="4" max="5" width="10" style="21" customWidth="1"/>
    <col min="6" max="6" width="9" style="17"/>
    <col min="7" max="12" width="9" style="17" customWidth="1"/>
    <col min="13" max="13" width="10" style="17" customWidth="1"/>
    <col min="14" max="14" width="9" style="17" hidden="1" customWidth="1"/>
    <col min="15" max="15" width="8.25" style="17" hidden="1" customWidth="1"/>
    <col min="16" max="16" width="9" style="18" hidden="1" customWidth="1"/>
    <col min="17" max="17" width="9.875" style="17" hidden="1" customWidth="1"/>
    <col min="18" max="18" width="6.75" style="19" hidden="1" customWidth="1"/>
    <col min="19" max="19" width="7" style="20" hidden="1" customWidth="1"/>
    <col min="20" max="22" width="9" style="17" hidden="1" customWidth="1"/>
    <col min="23" max="26" width="9" style="17" customWidth="1"/>
    <col min="27" max="16384" width="9" style="17"/>
  </cols>
  <sheetData>
    <row r="2" spans="1:19">
      <c r="A2" s="16" t="s">
        <v>7</v>
      </c>
      <c r="B2" s="16"/>
      <c r="C2" s="16"/>
      <c r="D2" s="16"/>
      <c r="E2" s="16"/>
    </row>
    <row r="3" spans="1:19">
      <c r="N3" s="22" t="s">
        <v>8</v>
      </c>
    </row>
    <row r="4" spans="1:19">
      <c r="A4" s="13" t="s">
        <v>9</v>
      </c>
      <c r="B4" s="13" t="s">
        <v>10</v>
      </c>
      <c r="C4" s="12" t="s">
        <v>11</v>
      </c>
      <c r="D4" s="12"/>
      <c r="E4" s="13" t="s">
        <v>12</v>
      </c>
      <c r="N4" s="22" t="s">
        <v>13</v>
      </c>
      <c r="R4" s="23">
        <v>0</v>
      </c>
      <c r="S4" s="22" t="s">
        <v>14</v>
      </c>
    </row>
    <row r="5" spans="1:19">
      <c r="A5" s="13"/>
      <c r="B5" s="13"/>
      <c r="C5" s="24" t="s">
        <v>15</v>
      </c>
      <c r="D5" s="24" t="s">
        <v>16</v>
      </c>
      <c r="E5" s="13"/>
      <c r="N5" s="22" t="s">
        <v>17</v>
      </c>
      <c r="R5" s="23">
        <v>60</v>
      </c>
      <c r="S5" s="22" t="s">
        <v>18</v>
      </c>
    </row>
    <row r="6" spans="1:19">
      <c r="A6" s="25" t="s">
        <v>19</v>
      </c>
      <c r="B6" s="26">
        <f t="shared" ref="B6:B17" si="0">D6</f>
        <v>76800</v>
      </c>
      <c r="C6" s="26">
        <v>60840</v>
      </c>
      <c r="D6" s="26">
        <v>76800</v>
      </c>
      <c r="E6" s="27">
        <v>68560</v>
      </c>
      <c r="N6" s="22" t="s">
        <v>20</v>
      </c>
      <c r="R6" s="23">
        <v>70</v>
      </c>
      <c r="S6" s="22" t="s">
        <v>21</v>
      </c>
    </row>
    <row r="7" spans="1:19">
      <c r="A7" s="25" t="s">
        <v>19</v>
      </c>
      <c r="B7" s="26">
        <f t="shared" si="0"/>
        <v>60830</v>
      </c>
      <c r="C7" s="26">
        <v>29980</v>
      </c>
      <c r="D7" s="26">
        <v>60830</v>
      </c>
      <c r="E7" s="27">
        <v>60830</v>
      </c>
      <c r="F7" s="28"/>
      <c r="G7" s="26"/>
      <c r="H7" s="26"/>
      <c r="I7" s="26"/>
      <c r="J7" s="26"/>
      <c r="K7" s="26"/>
      <c r="L7" s="26"/>
      <c r="N7" s="22" t="s">
        <v>22</v>
      </c>
      <c r="R7" s="23">
        <v>80</v>
      </c>
      <c r="S7" s="22" t="s">
        <v>23</v>
      </c>
    </row>
    <row r="8" spans="1:19">
      <c r="A8" s="25" t="s">
        <v>22</v>
      </c>
      <c r="B8" s="26">
        <f t="shared" si="0"/>
        <v>69040</v>
      </c>
      <c r="C8" s="26">
        <v>50330</v>
      </c>
      <c r="D8" s="26">
        <v>69040</v>
      </c>
      <c r="E8" s="27">
        <v>59630</v>
      </c>
      <c r="N8" s="22" t="s">
        <v>19</v>
      </c>
      <c r="R8" s="23">
        <v>90</v>
      </c>
      <c r="S8" s="22" t="s">
        <v>24</v>
      </c>
    </row>
    <row r="9" spans="1:19">
      <c r="A9" s="25" t="s">
        <v>22</v>
      </c>
      <c r="B9" s="26">
        <f t="shared" si="0"/>
        <v>50320</v>
      </c>
      <c r="C9" s="26">
        <v>24400</v>
      </c>
      <c r="D9" s="26">
        <v>50320</v>
      </c>
      <c r="E9" s="27">
        <v>50320</v>
      </c>
    </row>
    <row r="10" spans="1:19">
      <c r="A10" s="25" t="s">
        <v>20</v>
      </c>
      <c r="B10" s="26">
        <f t="shared" si="0"/>
        <v>58390</v>
      </c>
      <c r="C10" s="26">
        <v>40280</v>
      </c>
      <c r="D10" s="26">
        <v>58390</v>
      </c>
      <c r="E10" s="27">
        <v>49330</v>
      </c>
      <c r="N10" s="29" t="s">
        <v>8</v>
      </c>
      <c r="O10" s="17">
        <v>24750</v>
      </c>
      <c r="P10" s="18">
        <v>0</v>
      </c>
    </row>
    <row r="11" spans="1:19">
      <c r="A11" s="25" t="s">
        <v>20</v>
      </c>
      <c r="B11" s="26">
        <f t="shared" si="0"/>
        <v>40270</v>
      </c>
      <c r="C11" s="26">
        <v>19860</v>
      </c>
      <c r="D11" s="26">
        <v>40270</v>
      </c>
      <c r="E11" s="27">
        <v>37200</v>
      </c>
      <c r="N11" s="22" t="s">
        <v>13</v>
      </c>
      <c r="O11" s="30">
        <v>34310</v>
      </c>
      <c r="P11" s="18">
        <v>1</v>
      </c>
    </row>
    <row r="12" spans="1:19">
      <c r="A12" s="25" t="s">
        <v>17</v>
      </c>
      <c r="B12" s="26">
        <f t="shared" si="0"/>
        <v>41620</v>
      </c>
      <c r="C12" s="26">
        <v>30210</v>
      </c>
      <c r="D12" s="26">
        <v>41620</v>
      </c>
      <c r="E12" s="27">
        <v>35270</v>
      </c>
      <c r="N12" s="22" t="s">
        <v>17</v>
      </c>
      <c r="O12" s="30">
        <v>41620</v>
      </c>
      <c r="P12" s="18">
        <v>2</v>
      </c>
    </row>
    <row r="13" spans="1:19">
      <c r="A13" s="25" t="s">
        <v>17</v>
      </c>
      <c r="B13" s="26">
        <f t="shared" si="0"/>
        <v>30200</v>
      </c>
      <c r="C13" s="26">
        <v>16190</v>
      </c>
      <c r="D13" s="26">
        <v>30200</v>
      </c>
      <c r="E13" s="27">
        <v>30200</v>
      </c>
      <c r="N13" s="22" t="s">
        <v>20</v>
      </c>
      <c r="O13" s="30">
        <v>58390</v>
      </c>
      <c r="P13" s="18">
        <v>3</v>
      </c>
    </row>
    <row r="14" spans="1:19">
      <c r="A14" s="25" t="s">
        <v>13</v>
      </c>
      <c r="B14" s="26">
        <f t="shared" si="0"/>
        <v>34310</v>
      </c>
      <c r="C14" s="26">
        <v>24890</v>
      </c>
      <c r="D14" s="26">
        <v>34310</v>
      </c>
      <c r="E14" s="27">
        <v>29600</v>
      </c>
      <c r="N14" s="22" t="s">
        <v>22</v>
      </c>
      <c r="O14" s="30">
        <v>69040</v>
      </c>
      <c r="P14" s="18">
        <v>4</v>
      </c>
    </row>
    <row r="15" spans="1:19">
      <c r="A15" s="25" t="s">
        <v>13</v>
      </c>
      <c r="B15" s="26">
        <f t="shared" si="0"/>
        <v>24880</v>
      </c>
      <c r="C15" s="26">
        <v>15440</v>
      </c>
      <c r="D15" s="26">
        <v>24880</v>
      </c>
      <c r="E15" s="27">
        <v>22780</v>
      </c>
      <c r="N15" s="22" t="s">
        <v>19</v>
      </c>
      <c r="O15" s="30">
        <v>69810</v>
      </c>
      <c r="P15" s="18">
        <v>5</v>
      </c>
    </row>
    <row r="16" spans="1:19">
      <c r="A16" s="25" t="s">
        <v>8</v>
      </c>
      <c r="B16" s="26">
        <f t="shared" si="0"/>
        <v>24750</v>
      </c>
      <c r="C16" s="26">
        <v>19910</v>
      </c>
      <c r="D16" s="26">
        <v>24750</v>
      </c>
      <c r="E16" s="27">
        <v>22330</v>
      </c>
    </row>
    <row r="17" spans="1:15">
      <c r="A17" s="25" t="s">
        <v>8</v>
      </c>
      <c r="B17" s="26">
        <f t="shared" si="0"/>
        <v>19900</v>
      </c>
      <c r="C17" s="26">
        <v>15050</v>
      </c>
      <c r="D17" s="26">
        <v>19900</v>
      </c>
      <c r="E17" s="27">
        <v>17480</v>
      </c>
      <c r="F17" s="28"/>
      <c r="O17" s="31"/>
    </row>
    <row r="18" spans="1:15">
      <c r="N18" s="17" t="s">
        <v>25</v>
      </c>
    </row>
    <row r="19" spans="1:15">
      <c r="N19" s="17" t="s">
        <v>26</v>
      </c>
    </row>
  </sheetData>
  <sheetProtection algorithmName="SHA-512" hashValue="4ge9hhKMJ14EV1tjX32JIZysXc+R1hE2fHAF7klFN7DwPbI5FZ4jyjSzkEUUaj5VcOkCKjU93DBvb9tOrMjBGw==" saltValue="wm+USY7ZVTTRInvuqhkQpg==" spinCount="100000" sheet="1" objects="1" scenarios="1" selectLockedCells="1" selectUnlockedCells="1"/>
  <mergeCells count="5">
    <mergeCell ref="A2:E2"/>
    <mergeCell ref="A4:A5"/>
    <mergeCell ref="B4:B5"/>
    <mergeCell ref="C4:D4"/>
    <mergeCell ref="E4:E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คำนวณเงินเดือน</vt:lpstr>
      <vt:lpstr>Money</vt:lpstr>
    </vt:vector>
  </TitlesOfParts>
  <Company>Company 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 Name</dc:creator>
  <cp:lastModifiedBy>Thodsaphon Aiabsakun</cp:lastModifiedBy>
  <dcterms:created xsi:type="dcterms:W3CDTF">2019-08-23T05:04:42Z</dcterms:created>
  <dcterms:modified xsi:type="dcterms:W3CDTF">2022-11-17T09:13:24Z</dcterms:modified>
</cp:coreProperties>
</file>